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56E46948-E95A-44D4-8774-CDFBABE0336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G422" i="1"/>
  <c r="F422" i="1"/>
  <c r="E422" i="1"/>
  <c r="H421" i="1"/>
  <c r="F421" i="1"/>
  <c r="F419" i="1" s="1"/>
  <c r="G419" i="1" s="1"/>
  <c r="E421" i="1"/>
  <c r="H420" i="1"/>
  <c r="H419" i="1" s="1"/>
  <c r="F420" i="1"/>
  <c r="E420" i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I390" i="1"/>
  <c r="H390" i="1"/>
  <c r="G390" i="1"/>
  <c r="F390" i="1"/>
  <c r="I389" i="1"/>
  <c r="H389" i="1"/>
  <c r="G389" i="1"/>
  <c r="F389" i="1"/>
  <c r="I388" i="1"/>
  <c r="G388" i="1"/>
  <c r="G386" i="1" s="1"/>
  <c r="F388" i="1"/>
  <c r="I387" i="1"/>
  <c r="I386" i="1" s="1"/>
  <c r="G387" i="1"/>
  <c r="F387" i="1"/>
  <c r="F386" i="1"/>
  <c r="I385" i="1"/>
  <c r="H385" i="1"/>
  <c r="G385" i="1"/>
  <c r="F385" i="1"/>
  <c r="I384" i="1"/>
  <c r="H384" i="1"/>
  <c r="G384" i="1"/>
  <c r="F384" i="1"/>
  <c r="I383" i="1"/>
  <c r="I380" i="1" s="1"/>
  <c r="H383" i="1"/>
  <c r="G383" i="1"/>
  <c r="F383" i="1"/>
  <c r="I382" i="1"/>
  <c r="H382" i="1"/>
  <c r="G382" i="1"/>
  <c r="F382" i="1"/>
  <c r="I381" i="1"/>
  <c r="H381" i="1"/>
  <c r="G381" i="1"/>
  <c r="F381" i="1"/>
  <c r="H380" i="1"/>
  <c r="G380" i="1"/>
  <c r="F380" i="1"/>
  <c r="F391" i="1" s="1"/>
  <c r="D380" i="1"/>
  <c r="D391" i="1" s="1"/>
  <c r="H372" i="1"/>
  <c r="F372" i="1"/>
  <c r="H354" i="1"/>
  <c r="F354" i="1"/>
  <c r="D354" i="1"/>
  <c r="G354" i="1" s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G350" i="1"/>
  <c r="F350" i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H207" i="1"/>
  <c r="F207" i="1"/>
  <c r="D207" i="1"/>
  <c r="G207" i="1" s="1"/>
  <c r="H206" i="1"/>
  <c r="G206" i="1"/>
  <c r="F206" i="1"/>
  <c r="E206" i="1"/>
  <c r="H205" i="1"/>
  <c r="G205" i="1"/>
  <c r="F205" i="1"/>
  <c r="E205" i="1"/>
  <c r="H204" i="1"/>
  <c r="G204" i="1"/>
  <c r="F204" i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E178" i="1" s="1"/>
  <c r="E184" i="1" s="1"/>
  <c r="H180" i="1"/>
  <c r="F180" i="1"/>
  <c r="F178" i="1" s="1"/>
  <c r="G178" i="1" s="1"/>
  <c r="E180" i="1"/>
  <c r="H179" i="1"/>
  <c r="H178" i="1" s="1"/>
  <c r="F179" i="1"/>
  <c r="E179" i="1"/>
  <c r="H177" i="1"/>
  <c r="G177" i="1"/>
  <c r="F177" i="1"/>
  <c r="E177" i="1"/>
  <c r="H176" i="1"/>
  <c r="F176" i="1"/>
  <c r="E176" i="1"/>
  <c r="H175" i="1"/>
  <c r="F175" i="1"/>
  <c r="F184" i="1" s="1"/>
  <c r="G184" i="1" s="1"/>
  <c r="E175" i="1"/>
  <c r="D169" i="1"/>
  <c r="D167" i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H139" i="1" s="1"/>
  <c r="G140" i="1"/>
  <c r="F140" i="1"/>
  <c r="F139" i="1" s="1"/>
  <c r="I139" i="1"/>
  <c r="G139" i="1"/>
  <c r="E139" i="1"/>
  <c r="D139" i="1"/>
  <c r="I138" i="1"/>
  <c r="H138" i="1"/>
  <c r="H134" i="1" s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F134" i="1" s="1"/>
  <c r="G134" i="1"/>
  <c r="G133" i="1" s="1"/>
  <c r="E134" i="1"/>
  <c r="D134" i="1"/>
  <c r="E133" i="1"/>
  <c r="E150" i="1" s="1"/>
  <c r="D133" i="1"/>
  <c r="I132" i="1"/>
  <c r="H132" i="1"/>
  <c r="F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F128" i="1" s="1"/>
  <c r="I128" i="1"/>
  <c r="I150" i="1" s="1"/>
  <c r="E128" i="1"/>
  <c r="D128" i="1"/>
  <c r="D150" i="1" s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G96" i="1" s="1"/>
  <c r="G95" i="1" s="1"/>
  <c r="F97" i="1"/>
  <c r="I96" i="1"/>
  <c r="F96" i="1"/>
  <c r="E96" i="1"/>
  <c r="D96" i="1"/>
  <c r="I95" i="1"/>
  <c r="F95" i="1"/>
  <c r="E95" i="1"/>
  <c r="D95" i="1"/>
  <c r="I94" i="1"/>
  <c r="G94" i="1"/>
  <c r="H94" i="1" s="1"/>
  <c r="F94" i="1"/>
  <c r="I93" i="1"/>
  <c r="I92" i="1" s="1"/>
  <c r="I107" i="1" s="1"/>
  <c r="G93" i="1"/>
  <c r="H93" i="1" s="1"/>
  <c r="F93" i="1"/>
  <c r="F92" i="1" s="1"/>
  <c r="F107" i="1" s="1"/>
  <c r="G92" i="1"/>
  <c r="G107" i="1" s="1"/>
  <c r="E92" i="1"/>
  <c r="E107" i="1" s="1"/>
  <c r="D92" i="1"/>
  <c r="D107" i="1" s="1"/>
  <c r="C89" i="1"/>
  <c r="H85" i="1"/>
  <c r="F85" i="1"/>
  <c r="D85" i="1"/>
  <c r="G61" i="1"/>
  <c r="G60" i="1"/>
  <c r="H55" i="1"/>
  <c r="I32" i="1" s="1"/>
  <c r="F55" i="1"/>
  <c r="G32" i="1" s="1"/>
  <c r="E55" i="1"/>
  <c r="F32" i="1" s="1"/>
  <c r="I43" i="1"/>
  <c r="G43" i="1"/>
  <c r="H43" i="1" s="1"/>
  <c r="F43" i="1"/>
  <c r="H42" i="1"/>
  <c r="I41" i="1"/>
  <c r="H41" i="1"/>
  <c r="G41" i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E35" i="1"/>
  <c r="I34" i="1"/>
  <c r="G34" i="1"/>
  <c r="D34" i="1"/>
  <c r="I33" i="1"/>
  <c r="H33" i="1"/>
  <c r="G33" i="1"/>
  <c r="F33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H28" i="1"/>
  <c r="G28" i="1"/>
  <c r="F28" i="1"/>
  <c r="E27" i="1"/>
  <c r="D27" i="1"/>
  <c r="D26" i="1" s="1"/>
  <c r="E26" i="1"/>
  <c r="I25" i="1"/>
  <c r="H25" i="1"/>
  <c r="G25" i="1"/>
  <c r="F25" i="1"/>
  <c r="I24" i="1"/>
  <c r="I23" i="1" s="1"/>
  <c r="H24" i="1"/>
  <c r="H23" i="1" s="1"/>
  <c r="G24" i="1"/>
  <c r="G23" i="1" s="1"/>
  <c r="F24" i="1"/>
  <c r="F23" i="1"/>
  <c r="E23" i="1"/>
  <c r="E44" i="1" s="1"/>
  <c r="D23" i="1"/>
  <c r="D44" i="1" s="1"/>
  <c r="H16" i="1"/>
  <c r="F16" i="1"/>
  <c r="D16" i="1"/>
  <c r="H133" i="1" l="1"/>
  <c r="I27" i="1"/>
  <c r="I26" i="1" s="1"/>
  <c r="I44" i="1" s="1"/>
  <c r="F34" i="1"/>
  <c r="F26" i="1" s="1"/>
  <c r="F44" i="1" s="1"/>
  <c r="F27" i="1"/>
  <c r="H128" i="1"/>
  <c r="H150" i="1" s="1"/>
  <c r="F150" i="1"/>
  <c r="H184" i="1"/>
  <c r="H92" i="1"/>
  <c r="F133" i="1"/>
  <c r="G249" i="1"/>
  <c r="F253" i="1"/>
  <c r="G253" i="1" s="1"/>
  <c r="H386" i="1"/>
  <c r="H391" i="1" s="1"/>
  <c r="G391" i="1"/>
  <c r="G27" i="1"/>
  <c r="G26" i="1" s="1"/>
  <c r="G44" i="1" s="1"/>
  <c r="H32" i="1"/>
  <c r="H27" i="1" s="1"/>
  <c r="F423" i="1"/>
  <c r="G413" i="1"/>
  <c r="I391" i="1"/>
  <c r="H423" i="1"/>
  <c r="G295" i="1"/>
  <c r="F299" i="1"/>
  <c r="G299" i="1" s="1"/>
  <c r="H34" i="1"/>
  <c r="H97" i="1"/>
  <c r="H96" i="1" s="1"/>
  <c r="H95" i="1" s="1"/>
  <c r="G128" i="1"/>
  <c r="G150" i="1" s="1"/>
  <c r="G175" i="1"/>
  <c r="G55" i="1"/>
  <c r="H26" i="1" l="1"/>
  <c r="H44" i="1" s="1"/>
  <c r="H107" i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<sst xmlns="http://schemas.openxmlformats.org/spreadsheetml/2006/main" count="359" uniqueCount="152">
  <si>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</si>
  <si>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</si>
  <si>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</si>
  <si>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</si>
  <si>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</si>
  <si>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</si>
  <si>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</si>
  <si>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</si>
  <si>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</si>
  <si>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</si>
  <si>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</si>
  <si>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</si>
  <si>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</si>
  <si>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</si>
  <si>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</si>
  <si>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</si>
  <si>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</si>
  <si>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</si>
  <si>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</si>
  <si>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</si>
  <si>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</si>
  <si>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</si>
  <si>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</si>
  <si>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</si>
  <si>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</si>
  <si>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</si>
  <si>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</si>
  <si>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</si>
  <si>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</si>
  <si>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</si>
  <si>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</si>
  <si>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</si>
  <si>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</si>
  <si>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</si>
  <si>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</si>
  <si>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</si>
  <si>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</si>
  <si>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</si>
  <si>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</si>
  <si>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</si>
  <si>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</si>
  <si>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</si>
  <si>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</si>
  <si>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</si>
  <si>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</si>
  <si>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</si>
  <si>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</si>
  <si>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</si>
  <si>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</si>
  <si>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</si>
  <si>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</si>
  <si>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</si>
  <si>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</si>
  <si>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</si>
  <si>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</si>
  <si>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</si>
  <si>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</si>
  <si>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</si>
  <si>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</si>
  <si>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</si>
  <si>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</si>
  <si>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</si>
  <si>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</si>
  <si>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</si>
  <si>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</si>
  <si>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</si>
  <si>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</si>
  <si>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</si>
  <si>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</si>
  <si>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</si>
  <si>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</si>
  <si>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</si>
  <si>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</si>
  <si>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</si>
  <si>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</si>
  <si>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</si>
  <si>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</si>
  <si>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</si>
  <si>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</si>
  <si>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</si>
  <si>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</si>
  <si>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</si>
  <si>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</si>
  <si>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</si>
  <si>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</si>
  <si>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</si>
  <si>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</si>
  <si>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</si>
  <si>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</si>
  <si>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</si>
  <si>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</si>
  <si>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</si>
  <si>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</si>
  <si>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</si>
  <si>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</si>
  <si>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</si>
  <si>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</si>
  <si>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</si>
  <si>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</si>
  <si>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</si>
  <si>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</si>
  <si>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</si>
  <si>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</si>
  <si>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</si>
  <si>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</si>
  <si>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</si>
  <si>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</si>
  <si>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</si>
  <si>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</si>
  <si>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</si>
  <si>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</si>
  <si>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</si>
  <si>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</si>
  <si>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</si>
  <si>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</si>
  <si>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</si>
  <si>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</si>
  <si>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</si>
  <si>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</si>
  <si>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</si>
  <si>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</si>
  <si>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</si>
  <si>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</si>
  <si>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</si>
  <si>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</si>
  <si>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</si>
  <si>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</si>
  <si>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</si>
  <si>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</si>
  <si>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</si>
  <si>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</si>
  <si>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</si>
  <si>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</si>
  <si>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</si>
  <si>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</si>
  <si>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</si>
  <si>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</si>
  <si>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</si>
  <si>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</si>
  <si>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</si>
  <si>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</si>
  <si>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</si>
  <si>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</si>
  <si>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</si>
  <si>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57 tonn, men det legges til grunn at hele avsetningen tas</t>
  </si>
  <si>
    <t>4 Registrert rekreasjonsfiske utgjør 398 tonn, men det legges til grunn at hele avsetningen tas</t>
  </si>
  <si>
    <t>3 Registrert rekreasjonsfiske utgjør 773 tonn, men det legges til grunn at hele avsetningen tas</t>
  </si>
  <si>
    <t>FANGST UKE 30</t>
  </si>
  <si>
    <t>FANGST T.O.M UKE 30</t>
  </si>
  <si>
    <t>RESTKVOTER UKE 30</t>
  </si>
  <si>
    <t>FANGST T.O.M UKE 30 2023</t>
  </si>
  <si>
    <r>
      <t>3</t>
    </r>
    <r>
      <rPr>
        <sz val="9"/>
        <color indexed="8"/>
        <rFont val="Calibri"/>
        <family val="2"/>
      </rPr>
      <t xml:space="preserve"> Det er fisket 3 423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</si>
</sst>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G7" sqref="G7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0</v>
      </c>
      <c r="G23" s="28">
        <f t="shared" si="0"/>
        <v>37819.361940000003</v>
      </c>
      <c r="H23" s="11">
        <f t="shared" si="0"/>
        <v>22992.638059999997</v>
      </c>
      <c r="I23" s="11">
        <f t="shared" si="0"/>
        <v>51801.314380000003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0</f>
        <v>0</v>
      </c>
      <c r="G24" s="23">
        <f>37297.39815</f>
        <v>37297.398150000001</v>
      </c>
      <c r="H24" s="23">
        <f>E24-G24</f>
        <v>22744.601849999999</v>
      </c>
      <c r="I24" s="23">
        <f>51461.13603</f>
        <v>51461.136030000001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521.96379</f>
        <v>521.96379000000002</v>
      </c>
      <c r="H25" s="23">
        <f>E25-G25</f>
        <v>248.03620999999998</v>
      </c>
      <c r="I25" s="23">
        <f>340.17835</f>
        <v>340.17835000000002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1136.55719</v>
      </c>
      <c r="G26" s="11">
        <f t="shared" si="1"/>
        <v>119985.79971999998</v>
      </c>
      <c r="H26" s="11">
        <f t="shared" si="1"/>
        <v>24888.200279999997</v>
      </c>
      <c r="I26" s="11">
        <f t="shared" si="1"/>
        <v>169846.48639999999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983.79622000000006</v>
      </c>
      <c r="G27" s="132">
        <f t="shared" ref="G27:I27" si="2">G28+G29+G30+G31+G32</f>
        <v>97953.497429999989</v>
      </c>
      <c r="H27" s="132">
        <f t="shared" si="2"/>
        <v>15024.502569999997</v>
      </c>
      <c r="I27" s="132">
        <f t="shared" si="2"/>
        <v>134758.31513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110.92684</f>
        <v>110.92684</v>
      </c>
      <c r="G28" s="127">
        <f>25867.28855 - F56</f>
        <v>25619.288550000001</v>
      </c>
      <c r="H28" s="127">
        <f t="shared" ref="H28:H40" si="3">E28-G28</f>
        <v>3010.7114499999989</v>
      </c>
      <c r="I28" s="127">
        <f>36495.59845 - H56</f>
        <v>36183.598449999998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109.76662</f>
        <v>109.76662</v>
      </c>
      <c r="G29" s="127">
        <f>27272.03853 - F57</f>
        <v>26967.038530000002</v>
      </c>
      <c r="H29" s="127">
        <f t="shared" si="3"/>
        <v>2697.9614699999984</v>
      </c>
      <c r="I29" s="127">
        <f>37753.65206 - H57</f>
        <v>37131.65206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211.90564</f>
        <v>211.90564000000001</v>
      </c>
      <c r="G30" s="127">
        <f>25748.79657 - F58</f>
        <v>25227.796569999999</v>
      </c>
      <c r="H30" s="127">
        <f t="shared" si="3"/>
        <v>2016.2034300000014</v>
      </c>
      <c r="I30" s="127">
        <f>36105.17376 - H58</f>
        <v>34668.173759999998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155.19712</f>
        <v>155.19712000000001</v>
      </c>
      <c r="G31" s="127">
        <f>19065.37378 - F59</f>
        <v>18621.373780000002</v>
      </c>
      <c r="H31" s="127">
        <f t="shared" si="3"/>
        <v>717.62621999999828</v>
      </c>
      <c r="I31" s="127">
        <f>24403.89086 - H59</f>
        <v>23732.89086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396</v>
      </c>
      <c r="G32" s="127">
        <f>F55</f>
        <v>1518</v>
      </c>
      <c r="H32" s="127">
        <f t="shared" si="3"/>
        <v>6582</v>
      </c>
      <c r="I32" s="127">
        <f>H55</f>
        <v>3042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5.70242</f>
        <v>5.70242</v>
      </c>
      <c r="G33" s="132">
        <f>10328.92965</f>
        <v>10328.92965</v>
      </c>
      <c r="H33" s="132">
        <f t="shared" si="3"/>
        <v>6530.07035</v>
      </c>
      <c r="I33" s="132">
        <f>15093.4057</f>
        <v>15093.405699999999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147.05855</v>
      </c>
      <c r="G34" s="132">
        <f>G35+G36</f>
        <v>11703.37264</v>
      </c>
      <c r="H34" s="132">
        <f t="shared" si="3"/>
        <v>3333.6273600000004</v>
      </c>
      <c r="I34" s="132">
        <f>I35+I36</f>
        <v>19994.76557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102.05855</f>
        <v>102.05855</v>
      </c>
      <c r="G35" s="132">
        <f>14408.37264 - F60 - F61</f>
        <v>11520.37264</v>
      </c>
      <c r="H35" s="127">
        <f t="shared" si="3"/>
        <v>2556.6273600000004</v>
      </c>
      <c r="I35" s="127">
        <f>24228.76557 - H60 - H61</f>
        <v>19726.76557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45</v>
      </c>
      <c r="G36" s="71">
        <f>F60</f>
        <v>183</v>
      </c>
      <c r="H36" s="71">
        <f t="shared" si="3"/>
        <v>777</v>
      </c>
      <c r="I36" s="71">
        <f>H60</f>
        <v>268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1.5</f>
        <v>1.5</v>
      </c>
      <c r="G38" s="98">
        <f>468.27917</f>
        <v>468.27917000000002</v>
      </c>
      <c r="H38" s="98">
        <f t="shared" si="3"/>
        <v>386.72082999999998</v>
      </c>
      <c r="I38" s="98">
        <f>486.66974</f>
        <v>486.66973999999999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31</v>
      </c>
      <c r="G39" s="98">
        <f>F61</f>
        <v>2705</v>
      </c>
      <c r="H39" s="98">
        <f t="shared" si="3"/>
        <v>295</v>
      </c>
      <c r="I39" s="98">
        <f>H61</f>
        <v>4234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31.30618</f>
        <v>31.306180000000001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1.8289</f>
        <v>1.8289</v>
      </c>
      <c r="G41" s="98">
        <f>326.32151</f>
        <v>326.32150999999999</v>
      </c>
      <c r="H41" s="98">
        <f>E41-G41</f>
        <v>73.678490000000011</v>
      </c>
      <c r="I41" s="98">
        <f>349.76265</f>
        <v>349.76265000000001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5.99928</f>
        <v>5.9992799999999997</v>
      </c>
      <c r="G43" s="139">
        <f>100.16808</f>
        <v>100.16808</v>
      </c>
      <c r="H43" s="139">
        <f t="shared" ref="H43" si="4">E43-G43</f>
        <v>-100.16808</v>
      </c>
      <c r="I43" s="139">
        <f>78.21367</f>
        <v>78.213669999999993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1208.19155</v>
      </c>
      <c r="G44" s="76">
        <f t="shared" si="5"/>
        <v>168753.29561999999</v>
      </c>
      <c r="H44" s="76">
        <f t="shared" si="5"/>
        <v>50287.704379999988</v>
      </c>
      <c r="I44" s="76">
        <f t="shared" si="5"/>
        <v>234543.23843999999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396</v>
      </c>
      <c r="F55" s="11">
        <f>F59+F58+F57+F56</f>
        <v>1518</v>
      </c>
      <c r="G55" s="295">
        <f>D55-F55</f>
        <v>6354</v>
      </c>
      <c r="H55" s="11">
        <f>H59+H58+H57+H56</f>
        <v>3042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>
        <v>63</v>
      </c>
      <c r="F56" s="127">
        <v>248</v>
      </c>
      <c r="G56" s="296"/>
      <c r="H56" s="127">
        <v>312</v>
      </c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>
        <v>71</v>
      </c>
      <c r="F57" s="127">
        <v>305</v>
      </c>
      <c r="G57" s="296"/>
      <c r="H57" s="127">
        <v>622</v>
      </c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>
        <v>137</v>
      </c>
      <c r="F58" s="127">
        <v>521</v>
      </c>
      <c r="G58" s="296"/>
      <c r="H58" s="127">
        <v>1437</v>
      </c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>
        <v>125</v>
      </c>
      <c r="F59" s="192">
        <v>444</v>
      </c>
      <c r="G59" s="297"/>
      <c r="H59" s="192">
        <v>671</v>
      </c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45</v>
      </c>
      <c r="F60" s="95">
        <v>183</v>
      </c>
      <c r="G60" s="95">
        <f>D60-F60</f>
        <v>777</v>
      </c>
      <c r="H60" s="95">
        <v>268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31</v>
      </c>
      <c r="F61" s="139">
        <v>2705</v>
      </c>
      <c r="G61" s="139">
        <f>D61-F61</f>
        <v>295</v>
      </c>
      <c r="H61" s="139">
        <v>4234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17.7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0</v>
      </c>
      <c r="G92" s="11">
        <f t="shared" si="6"/>
        <v>23264.637179999998</v>
      </c>
      <c r="H92" s="11">
        <f t="shared" si="6"/>
        <v>2696.3628200000003</v>
      </c>
      <c r="I92" s="11">
        <f t="shared" si="6"/>
        <v>39064.868220000004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0</f>
        <v>0</v>
      </c>
      <c r="G93" s="23">
        <f>22486.39993</f>
        <v>22486.39993</v>
      </c>
      <c r="H93" s="23">
        <f>E93-G93</f>
        <v>2649.6000700000004</v>
      </c>
      <c r="I93" s="23">
        <f>38565.00123</f>
        <v>38565.001230000002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778.23725</f>
        <v>778.23725000000002</v>
      </c>
      <c r="H94" s="50">
        <f>E94-G94</f>
        <v>46.762749999999983</v>
      </c>
      <c r="I94" s="50">
        <f>499.86699</f>
        <v>499.86698999999999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536.23208999999997</v>
      </c>
      <c r="G95" s="11">
        <f t="shared" si="7"/>
        <v>34370.029589999998</v>
      </c>
      <c r="H95" s="11">
        <f t="shared" si="7"/>
        <v>14623.970409999998</v>
      </c>
      <c r="I95" s="11">
        <f t="shared" si="7"/>
        <v>24411.707619999997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499.75198999999998</v>
      </c>
      <c r="G96" s="132">
        <f t="shared" si="8"/>
        <v>27425.007519999999</v>
      </c>
      <c r="H96" s="132">
        <f t="shared" si="8"/>
        <v>10068.992479999999</v>
      </c>
      <c r="I96" s="132">
        <f t="shared" si="8"/>
        <v>17669.597979999999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56.95003</f>
        <v>56.950029999999998</v>
      </c>
      <c r="G97" s="127">
        <f>4309.44841</f>
        <v>4309.44841</v>
      </c>
      <c r="H97" s="127">
        <f t="shared" ref="H97:H104" si="9">E97-G97</f>
        <v>5705.55159</v>
      </c>
      <c r="I97" s="127">
        <f>2523.89484</f>
        <v>2523.8948399999999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136.24991</f>
        <v>136.24991</v>
      </c>
      <c r="G98" s="127">
        <f>9078.05486</f>
        <v>9078.0548600000002</v>
      </c>
      <c r="H98" s="127">
        <f t="shared" si="9"/>
        <v>1535.9451399999998</v>
      </c>
      <c r="I98" s="127">
        <f>5560.40244</f>
        <v>5560.4024399999998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119.04931</f>
        <v>119.04931000000001</v>
      </c>
      <c r="G99" s="127">
        <f>8617.60212</f>
        <v>8617.6021199999996</v>
      </c>
      <c r="H99" s="127">
        <f t="shared" si="9"/>
        <v>1494.3978800000004</v>
      </c>
      <c r="I99" s="127">
        <f>5056.04253</f>
        <v>5056.0425299999997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187.50274</f>
        <v>187.50273999999999</v>
      </c>
      <c r="G100" s="127">
        <f>5419.90213</f>
        <v>5419.9021300000004</v>
      </c>
      <c r="H100" s="127">
        <f t="shared" si="9"/>
        <v>1333.0978699999996</v>
      </c>
      <c r="I100" s="127">
        <f>4529.25817</f>
        <v>4529.2581700000001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6.26866</f>
        <v>6.2686599999999997</v>
      </c>
      <c r="G101" s="132">
        <f>5016.81917</f>
        <v>5016.8191699999998</v>
      </c>
      <c r="H101" s="132">
        <f t="shared" si="9"/>
        <v>2579.1808300000002</v>
      </c>
      <c r="I101" s="132">
        <f>5443.79036</f>
        <v>5443.79036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30.21144</f>
        <v>30.21144</v>
      </c>
      <c r="G102" s="75">
        <f>1928.2029</f>
        <v>1928.2029</v>
      </c>
      <c r="H102" s="75">
        <f t="shared" si="9"/>
        <v>1975.7971</v>
      </c>
      <c r="I102" s="75">
        <f>1298.31928</f>
        <v>1298.3192799999999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1.69294</f>
        <v>1.6929399999999999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0.1564</f>
        <v>0.15640000000000001</v>
      </c>
      <c r="G105" s="98">
        <f>20.93256</f>
        <v>20.932559999999999</v>
      </c>
      <c r="H105" s="139">
        <f>E105-G105</f>
        <v>29.067440000000001</v>
      </c>
      <c r="I105" s="98">
        <f>7.1916</f>
        <v>7.1916000000000002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4.20286</f>
        <v>4.2028600000000003</v>
      </c>
      <c r="G106" s="139">
        <f>26.398</f>
        <v>26.398</v>
      </c>
      <c r="H106" s="139">
        <f t="shared" ref="H106" si="10">E106-G106</f>
        <v>-26.398</v>
      </c>
      <c r="I106" s="139">
        <f>87.90276</f>
        <v>87.902760000000001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542.28428999999994</v>
      </c>
      <c r="G107" s="76">
        <f t="shared" si="12"/>
        <v>58018.10009</v>
      </c>
      <c r="H107" s="76">
        <f t="shared" si="12"/>
        <v>17605.899909999993</v>
      </c>
      <c r="I107" s="76">
        <f t="shared" si="12"/>
        <v>63882.918870000001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0</v>
      </c>
      <c r="G128" s="11">
        <f t="shared" si="13"/>
        <v>40433.002869999997</v>
      </c>
      <c r="H128" s="11">
        <f t="shared" si="13"/>
        <v>31873.99713</v>
      </c>
      <c r="I128" s="11">
        <f t="shared" si="13"/>
        <v>42016.758130000002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0</f>
        <v>0</v>
      </c>
      <c r="G129" s="23">
        <f>36005.61071</f>
        <v>36005.610710000001</v>
      </c>
      <c r="H129" s="23">
        <f>E129-G129</f>
        <v>21556.389289999999</v>
      </c>
      <c r="I129" s="23">
        <f>37071.29338</f>
        <v>37071.293380000003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4361.94201</f>
        <v>4361.9420099999998</v>
      </c>
      <c r="H130" s="23">
        <f>E130-G130</f>
        <v>9883.0579900000012</v>
      </c>
      <c r="I130" s="23">
        <f>4830.1585</f>
        <v>4830.1584999999995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967.0742</f>
        <v>967.07420000000002</v>
      </c>
      <c r="G132" s="95">
        <f>10404.566+3423.1092</f>
        <v>13827.675200000001</v>
      </c>
      <c r="H132" s="95">
        <f>E132-G132</f>
        <v>38668.324800000002</v>
      </c>
      <c r="I132" s="95">
        <f>31459.78849</f>
        <v>31459.788489999999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1155.09374</v>
      </c>
      <c r="G133" s="94">
        <f t="shared" ref="G133" si="14">G134+G139+G142</f>
        <v>49445.077060000003</v>
      </c>
      <c r="H133" s="94">
        <f>H134+H139+H142</f>
        <v>30719.92294</v>
      </c>
      <c r="I133" s="94">
        <f>I134+I139+I142</f>
        <v>52206.138050000001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987.85199000000011</v>
      </c>
      <c r="G134" s="125">
        <f>G135+G136+G138+G137</f>
        <v>36364.054799999998</v>
      </c>
      <c r="H134" s="125">
        <f>H135+H136+H137+H138</f>
        <v>22714.945200000002</v>
      </c>
      <c r="I134" s="125">
        <f>I135+I136+I137+I138</f>
        <v>41301.275390000003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161.33811</f>
        <v>161.33811</v>
      </c>
      <c r="G135" s="127">
        <v>7377.1453600000004</v>
      </c>
      <c r="H135" s="127">
        <f>E135-G135</f>
        <v>10396.85464</v>
      </c>
      <c r="I135" s="127">
        <f>6359.3585</f>
        <v>6359.3585000000003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101.61252</f>
        <v>101.61252</v>
      </c>
      <c r="G136" s="127">
        <v>10768.839875</v>
      </c>
      <c r="H136" s="127">
        <f>E136-G136</f>
        <v>4170.1601250000003</v>
      </c>
      <c r="I136" s="127">
        <f>10799.91034</f>
        <v>10799.91034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347.44884</f>
        <v>347.44884000000002</v>
      </c>
      <c r="G137" s="127">
        <v>9452.3556449999996</v>
      </c>
      <c r="H137" s="127">
        <f>E137-G137</f>
        <v>3598.6443550000004</v>
      </c>
      <c r="I137" s="127">
        <f>12815.58461</f>
        <v>12815.58461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377.45252</f>
        <v>377.45251999999999</v>
      </c>
      <c r="G138" s="127">
        <v>8765.7139200000001</v>
      </c>
      <c r="H138" s="127">
        <f>E138-G138</f>
        <v>4549.2860799999999</v>
      </c>
      <c r="I138" s="127">
        <f>11326.42194</f>
        <v>11326.42194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5.2518000000000002</v>
      </c>
      <c r="G139" s="132">
        <f>SUM(G140:G141)</f>
        <v>8850.3346500000007</v>
      </c>
      <c r="H139" s="132">
        <f>H140+H141</f>
        <v>79.665349999999478</v>
      </c>
      <c r="I139" s="132">
        <f>SUM(I140:I141)</f>
        <v>6432.78683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2.0034</f>
        <v>2.0034000000000001</v>
      </c>
      <c r="G140" s="127">
        <f>8455.5614</f>
        <v>8455.5614000000005</v>
      </c>
      <c r="H140" s="127">
        <f t="shared" ref="H140:H148" si="15">E140-G140</f>
        <v>-25.561400000000503</v>
      </c>
      <c r="I140" s="127">
        <f>6274.02821</f>
        <v>6274.0282100000004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3.2484</f>
        <v>3.2484000000000002</v>
      </c>
      <c r="G141" s="127">
        <f>394.77325</f>
        <v>394.77325000000002</v>
      </c>
      <c r="H141" s="127">
        <f t="shared" si="15"/>
        <v>105.22674999999998</v>
      </c>
      <c r="I141" s="127">
        <f>158.75862</f>
        <v>158.75862000000001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161.98995</f>
        <v>161.98994999999999</v>
      </c>
      <c r="G142" s="75">
        <f>4230.68761</f>
        <v>4230.6876099999999</v>
      </c>
      <c r="H142" s="75">
        <f t="shared" si="15"/>
        <v>7925.3123900000001</v>
      </c>
      <c r="I142" s="75">
        <f>4472.07583</f>
        <v>4472.0758299999998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16.10142</f>
        <v>16.101420000000001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0.6375</f>
        <v>0.63749999999999996</v>
      </c>
      <c r="G147" s="98">
        <f>43.55758</f>
        <v>43.557580000000002</v>
      </c>
      <c r="H147" s="139">
        <f t="shared" si="15"/>
        <v>232.44242</v>
      </c>
      <c r="I147" s="98">
        <f>26.73843</f>
        <v>26.738430000000001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0.042</f>
        <v>4.2000000000000003E-2</v>
      </c>
      <c r="G148" s="139">
        <f>113.65849</f>
        <v>113.65849</v>
      </c>
      <c r="H148" s="139">
        <f t="shared" si="15"/>
        <v>-113.65849</v>
      </c>
      <c r="I148" s="139">
        <f>95.18393</f>
        <v>95.183930000000004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2138.94886</v>
      </c>
      <c r="G150" s="76">
        <f>G128+G132+G133+G143+G144+G145+G146+G147+G148</f>
        <v>106134.71974999999</v>
      </c>
      <c r="H150" s="76">
        <f>H128+H132+H133+H143+H144+H145+H146+H147+H148</f>
        <v>101505.28025000003</v>
      </c>
      <c r="I150" s="76">
        <f>I128+I132+I133+I143+I144+I145+I146+I147+I148</f>
        <v>128097.54903000002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0</f>
        <v>0</v>
      </c>
      <c r="F175" s="275">
        <f>747.99948</f>
        <v>747.99947999999995</v>
      </c>
      <c r="G175" s="43">
        <f>D175-F175-F176</f>
        <v>2207.3991999999998</v>
      </c>
      <c r="H175" s="275">
        <f>1260.67835</f>
        <v>1260.6783499999999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1267.60132</f>
        <v>1267.60132</v>
      </c>
      <c r="G176" s="216"/>
      <c r="H176" s="152">
        <f>1289.45802</f>
        <v>1289.45802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82.16938</f>
        <v>82.169380000000004</v>
      </c>
      <c r="G177" s="172">
        <f>D177-F177</f>
        <v>117.83062</v>
      </c>
      <c r="H177" s="172">
        <f>71.48316</f>
        <v>71.483159999999998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6.1114899999999999</v>
      </c>
      <c r="F178" s="181">
        <f>F179+F180+F181</f>
        <v>3860.1755899999998</v>
      </c>
      <c r="G178" s="181">
        <f>D178-F178</f>
        <v>2473.8244100000002</v>
      </c>
      <c r="H178" s="181">
        <f>H179+H180+H181</f>
        <v>4849.2210500000001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0.10814</f>
        <v>0.10814</v>
      </c>
      <c r="F179" s="127">
        <f>1859.31128</f>
        <v>1859.3112799999999</v>
      </c>
      <c r="G179" s="127"/>
      <c r="H179" s="127">
        <f>2242.32677</f>
        <v>2242.3267700000001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3.87814</f>
        <v>3.8781400000000001</v>
      </c>
      <c r="F180" s="127">
        <f>1212.56276</f>
        <v>1212.56276</v>
      </c>
      <c r="G180" s="127"/>
      <c r="H180" s="127">
        <f>1589.03668</f>
        <v>1589.0366799999999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2.12521</f>
        <v>2.12521</v>
      </c>
      <c r="F181" s="192">
        <f>788.30155</f>
        <v>788.30155000000002</v>
      </c>
      <c r="G181" s="192"/>
      <c r="H181" s="192">
        <f>1017.8576</f>
        <v>1017.8576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6.1114899999999999</v>
      </c>
      <c r="F184" s="194">
        <f>F175+F176+F177+F178+F182+F183</f>
        <v>5957.9457700000003</v>
      </c>
      <c r="G184" s="194">
        <f>D184-F184</f>
        <v>4865.0542299999997</v>
      </c>
      <c r="H184" s="194">
        <f>H175+H176+H177+H178+H182+H183</f>
        <v>7470.84058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0</f>
        <v>0</v>
      </c>
      <c r="F204" s="124">
        <f>37304.71651</f>
        <v>37304.716509999998</v>
      </c>
      <c r="G204" s="124">
        <f>D204-F204</f>
        <v>8977.2834900000016</v>
      </c>
      <c r="H204" s="124">
        <f>37931.75115</f>
        <v>37931.751149999996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1.146</f>
        <v>1.1459999999999999</v>
      </c>
      <c r="F205" s="124">
        <f>26.85632</f>
        <v>26.85632</v>
      </c>
      <c r="G205" s="124">
        <f>D205-F205</f>
        <v>73.143680000000003</v>
      </c>
      <c r="H205" s="124">
        <f>23.00925</f>
        <v>23.009250000000002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1.1459999999999999</v>
      </c>
      <c r="F207" s="190">
        <f>SUM(F204:F206)</f>
        <v>37331.572829999997</v>
      </c>
      <c r="G207" s="190">
        <f>D207-F207</f>
        <v>9086.4271700000027</v>
      </c>
      <c r="H207" s="190">
        <f>SUM(H204:H206)</f>
        <v>37954.760399999999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88.050799999999995</v>
      </c>
      <c r="F249" s="75">
        <f>F250+F251</f>
        <v>3526.3907899999999</v>
      </c>
      <c r="G249" s="75">
        <f>D249-F249</f>
        <v>460.60921000000008</v>
      </c>
      <c r="H249" s="75">
        <f>H250+H251</f>
        <v>2693.4029500000001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87.5966</f>
        <v>87.596599999999995</v>
      </c>
      <c r="F250" s="75">
        <f>3031.3509</f>
        <v>3031.3508999999999</v>
      </c>
      <c r="G250" s="75"/>
      <c r="H250" s="75">
        <f>2191.15608</f>
        <v>2191.1560800000002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0.4542</f>
        <v>0.45419999999999999</v>
      </c>
      <c r="F251" s="124">
        <f>495.03989</f>
        <v>495.03989000000001</v>
      </c>
      <c r="G251" s="168"/>
      <c r="H251" s="124">
        <f>502.24687</f>
        <v>502.24687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20.8851</f>
        <v>20.885100000000001</v>
      </c>
      <c r="F252" s="75">
        <f>4783.08635</f>
        <v>4783.0863499999996</v>
      </c>
      <c r="G252" s="75">
        <f>D252-F252</f>
        <v>-170.08634999999958</v>
      </c>
      <c r="H252" s="75">
        <f>4485.97823</f>
        <v>4485.9782299999997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108.9359</v>
      </c>
      <c r="F253" s="190">
        <f>SUM(F249,F252)</f>
        <v>8309.4771399999991</v>
      </c>
      <c r="G253" s="190">
        <f>D253-F253</f>
        <v>290.52286000000095</v>
      </c>
      <c r="H253" s="190">
        <f>SUM(H249,H252)</f>
        <v>7179.3811800000003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28.702559999999998</v>
      </c>
      <c r="F295" s="75">
        <f>F296+F297</f>
        <v>3973.7726600000001</v>
      </c>
      <c r="G295" s="75">
        <f>D295-F295</f>
        <v>1116.2273399999999</v>
      </c>
      <c r="H295" s="75">
        <f>H296+H297</f>
        <v>3707.5760500000001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27.1754</f>
        <v>27.1754</v>
      </c>
      <c r="F296" s="75">
        <f>3549.62789</f>
        <v>3549.6278900000002</v>
      </c>
      <c r="G296" s="75"/>
      <c r="H296" s="75">
        <f>3296.45895</f>
        <v>3296.4589500000002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1.52716</f>
        <v>1.5271600000000001</v>
      </c>
      <c r="F297" s="124">
        <f>424.14477</f>
        <v>424.14476999999999</v>
      </c>
      <c r="G297" s="168"/>
      <c r="H297" s="124">
        <f>411.1171</f>
        <v>411.11709999999999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29.86798</f>
        <v>29.867979999999999</v>
      </c>
      <c r="F298" s="75">
        <f>2123.36837</f>
        <v>2123.3683700000001</v>
      </c>
      <c r="G298" s="75">
        <f>D298-F298</f>
        <v>857.63162999999986</v>
      </c>
      <c r="H298" s="75">
        <f>2536.5337</f>
        <v>2536.5337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58.570539999999994</v>
      </c>
      <c r="F299" s="190">
        <f>SUM(F295,F298)</f>
        <v>6097.1410300000007</v>
      </c>
      <c r="G299" s="190">
        <f>D299-F299</f>
        <v>1973.8589699999993</v>
      </c>
      <c r="H299" s="190">
        <f>SUM(H295,H298)</f>
        <v>6244.1097499999996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6.2926</f>
        <v>6.2926000000000002</v>
      </c>
      <c r="F350" s="124">
        <f>393.15715</f>
        <v>393.15715</v>
      </c>
      <c r="G350" s="124">
        <f>D350-F350</f>
        <v>406.84285</v>
      </c>
      <c r="H350" s="124">
        <f>369.09519</f>
        <v>369.09519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23.88922</f>
        <v>23.889220000000002</v>
      </c>
      <c r="F351" s="124">
        <f>1321.34665</f>
        <v>1321.34665</v>
      </c>
      <c r="G351" s="124">
        <f>D351-F351</f>
        <v>1719.65335</v>
      </c>
      <c r="H351" s="124">
        <f>1577.86591</f>
        <v>1577.86591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0.63874</f>
        <v>0.63873999999999997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1.68235</f>
        <v>1.68235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30.181820000000002</v>
      </c>
      <c r="F354" s="190">
        <f>SUM(F350:F353)</f>
        <v>1718.2044199999998</v>
      </c>
      <c r="G354" s="190">
        <f>D354-F354</f>
        <v>2132.79558</v>
      </c>
      <c r="H354" s="190">
        <f>H350+H351+H352+H353</f>
        <v>1949.2821900000001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31.111800000000002</v>
      </c>
      <c r="G380" s="252">
        <f t="shared" si="17"/>
        <v>8543.8551200000002</v>
      </c>
      <c r="H380" s="252">
        <f>H384+H383+H382+H381</f>
        <v>14425.14488</v>
      </c>
      <c r="I380" s="252">
        <f t="shared" si="17"/>
        <v>7409.0167200000005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4994.27426</f>
        <v>4994.2742600000001</v>
      </c>
      <c r="H381" s="256">
        <f t="shared" ref="H381:H385" si="18">E381-G381</f>
        <v>8195.7257399999999</v>
      </c>
      <c r="I381" s="256">
        <f>3148.4446</f>
        <v>3148.4445999999998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912.4407</f>
        <v>912.44069999999999</v>
      </c>
      <c r="H382" s="256">
        <f t="shared" si="18"/>
        <v>2520.5592999999999</v>
      </c>
      <c r="I382" s="256">
        <f>892.13805</f>
        <v>892.13805000000002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23.9888</f>
        <v>23.988800000000001</v>
      </c>
      <c r="G383" s="256">
        <f>1346.0839</f>
        <v>1346.0839000000001</v>
      </c>
      <c r="H383" s="256">
        <f t="shared" si="18"/>
        <v>136.91609999999991</v>
      </c>
      <c r="I383" s="256">
        <f>1434.05997</f>
        <v>1434.05997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7.123</f>
        <v>7.1230000000000002</v>
      </c>
      <c r="G384" s="256">
        <f>1291.05626</f>
        <v>1291.0562600000001</v>
      </c>
      <c r="H384" s="256">
        <f t="shared" si="18"/>
        <v>3571.9437399999997</v>
      </c>
      <c r="I384" s="256">
        <f>1934.3741</f>
        <v>1934.3741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2132.18278</f>
        <v>2132.1827800000001</v>
      </c>
      <c r="H385" s="267">
        <f t="shared" si="18"/>
        <v>3367.8172199999999</v>
      </c>
      <c r="I385" s="267">
        <f>5096.83428</f>
        <v>5096.83428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63.405259999999998</v>
      </c>
      <c r="G386" s="268">
        <f>G388+G387</f>
        <v>1912.3919900000001</v>
      </c>
      <c r="H386" s="268">
        <f>E386-G386</f>
        <v>6087.6080099999999</v>
      </c>
      <c r="I386" s="268">
        <f>I388+I387</f>
        <v>2440.9688900000001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599.85695</f>
        <v>599.85694999999998</v>
      </c>
      <c r="H387" s="256"/>
      <c r="I387" s="256">
        <f>828.05258</f>
        <v>828.05258000000003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63.40526</f>
        <v>63.405259999999998</v>
      </c>
      <c r="G388" s="277">
        <f>1312.53504</f>
        <v>1312.53504</v>
      </c>
      <c r="H388" s="277"/>
      <c r="I388" s="277">
        <f>1612.91631</f>
        <v>1612.9163100000001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0.1164</f>
        <v>0.1164</v>
      </c>
      <c r="H389" s="267">
        <f>E389-G389</f>
        <v>12.883599999999999</v>
      </c>
      <c r="I389" s="267">
        <f>0.0735</f>
        <v>7.3499999999999996E-2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2.7418</f>
        <v>2.7418</v>
      </c>
      <c r="G390" s="267">
        <f>56.00028</f>
        <v>56.000279999999997</v>
      </c>
      <c r="H390" s="267">
        <f>E390-G390</f>
        <v>-56.000279999999997</v>
      </c>
      <c r="I390" s="267">
        <f>47.14706</f>
        <v>47.147060000000003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97.258859999999999</v>
      </c>
      <c r="G391" s="286">
        <f t="shared" si="19"/>
        <v>12644.54657</v>
      </c>
      <c r="H391" s="286">
        <f>H380+H385+H386+H389+H390</f>
        <v>23837.453430000001</v>
      </c>
      <c r="I391" s="286">
        <f t="shared" si="19"/>
        <v>14994.04045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37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87.813199999999995</v>
      </c>
      <c r="F413" s="26">
        <f>SUM(F414:F415)</f>
        <v>337.11080000000004</v>
      </c>
      <c r="G413" s="85">
        <f>D413-F413</f>
        <v>897.88919999999996</v>
      </c>
      <c r="H413" s="26">
        <f>SUM(H414:H415)</f>
        <v>298.57679999999999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74.169</f>
        <v>74.168999999999997</v>
      </c>
      <c r="F414" s="205">
        <f>275.021</f>
        <v>275.02100000000002</v>
      </c>
      <c r="G414" s="206"/>
      <c r="H414" s="205">
        <f>239.89102</f>
        <v>239.89102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13.6442</f>
        <v>13.6442</v>
      </c>
      <c r="F415" s="208">
        <f>62.0898</f>
        <v>62.089799999999997</v>
      </c>
      <c r="G415" s="209"/>
      <c r="H415" s="208">
        <f>58.68578</f>
        <v>58.685780000000001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0</v>
      </c>
      <c r="G416" s="85">
        <f>D416-F416</f>
        <v>1060</v>
      </c>
      <c r="H416" s="26">
        <f>SUM(H417:H418)</f>
        <v>0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0</v>
      </c>
      <c r="F419" s="36">
        <f>SUM(F420:F421)</f>
        <v>0</v>
      </c>
      <c r="G419" s="85">
        <f>D419-F419</f>
        <v>1235</v>
      </c>
      <c r="H419" s="36">
        <f>SUM(H420:H421)</f>
        <v>0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87.813199999999995</v>
      </c>
      <c r="F423" s="40">
        <f>F413+F416+F419+F422</f>
        <v>337.11080000000004</v>
      </c>
      <c r="G423" s="41"/>
      <c r="H423" s="40">
        <f>H413+H416+H419+H422</f>
        <v>298.57679999999999</v>
      </c>
      <c r="I423" s="27"/>
      <c r="J423" s="130"/>
    </row>
    <row r="424" spans="1:10" ht="42" customHeight="1" x14ac:dyDescent="0.2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30&amp;R29.07.2024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2024-07-29T06:36:34Z</dcterms:modified>
</cp:coreProperties>
</file>