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Regulering\ameik\Ukesstatistikk\2022\22-36\"/>
    </mc:Choice>
  </mc:AlternateContent>
  <xr:revisionPtr revIDLastSave="0" documentId="13_ncr:1_{3A57CE81-5A8C-4319-9F61-B9DFB2782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36_2022" sheetId="1" r:id="rId1"/>
  </sheets>
  <definedNames>
    <definedName name="Z_14D440E4_F18A_4F78_9989_38C1B133222D_.wvu.Cols" localSheetId="0" hidden="1">UKE_36_2022!#REF!</definedName>
    <definedName name="Z_14D440E4_F18A_4F78_9989_38C1B133222D_.wvu.PrintArea" localSheetId="0" hidden="1">UKE_36_2022!$B$1:$J$359</definedName>
    <definedName name="Z_14D440E4_F18A_4F78_9989_38C1B133222D_.wvu.Rows" localSheetId="0" hidden="1">UKE_36_2022!#REF!,UKE_36_2022!#REF!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8" i="1" l="1"/>
  <c r="G133" i="1" l="1"/>
  <c r="I35" i="1" l="1"/>
  <c r="G35" i="1"/>
  <c r="G158" i="1"/>
  <c r="E56" i="1" l="1"/>
  <c r="F56" i="1"/>
  <c r="H31" i="1"/>
  <c r="H30" i="1"/>
  <c r="H29" i="1"/>
  <c r="H32" i="1"/>
  <c r="D357" i="1"/>
  <c r="H355" i="1"/>
  <c r="F355" i="1"/>
  <c r="E355" i="1"/>
  <c r="H354" i="1"/>
  <c r="H353" i="1" s="1"/>
  <c r="F354" i="1"/>
  <c r="F353" i="1" s="1"/>
  <c r="G353" i="1" s="1"/>
  <c r="E354" i="1"/>
  <c r="E353" i="1" s="1"/>
  <c r="H352" i="1"/>
  <c r="F352" i="1"/>
  <c r="E352" i="1"/>
  <c r="E350" i="1" s="1"/>
  <c r="H351" i="1"/>
  <c r="F351" i="1"/>
  <c r="F350" i="1" s="1"/>
  <c r="G350" i="1" s="1"/>
  <c r="E351" i="1"/>
  <c r="H350" i="1"/>
  <c r="H349" i="1"/>
  <c r="H347" i="1" s="1"/>
  <c r="H357" i="1" s="1"/>
  <c r="F349" i="1"/>
  <c r="E349" i="1"/>
  <c r="E347" i="1" s="1"/>
  <c r="E357" i="1" s="1"/>
  <c r="H348" i="1"/>
  <c r="F348" i="1"/>
  <c r="E348" i="1"/>
  <c r="F347" i="1"/>
  <c r="D325" i="1"/>
  <c r="I324" i="1"/>
  <c r="G324" i="1"/>
  <c r="H324" i="1" s="1"/>
  <c r="F324" i="1"/>
  <c r="I323" i="1"/>
  <c r="H323" i="1"/>
  <c r="G323" i="1"/>
  <c r="F323" i="1"/>
  <c r="I322" i="1"/>
  <c r="I320" i="1" s="1"/>
  <c r="G322" i="1"/>
  <c r="F322" i="1"/>
  <c r="F320" i="1" s="1"/>
  <c r="I321" i="1"/>
  <c r="G321" i="1"/>
  <c r="F321" i="1"/>
  <c r="G320" i="1"/>
  <c r="H320" i="1" s="1"/>
  <c r="I319" i="1"/>
  <c r="G319" i="1"/>
  <c r="H319" i="1" s="1"/>
  <c r="F319" i="1"/>
  <c r="I318" i="1"/>
  <c r="G318" i="1"/>
  <c r="H318" i="1" s="1"/>
  <c r="F318" i="1"/>
  <c r="I317" i="1"/>
  <c r="I314" i="1" s="1"/>
  <c r="G317" i="1"/>
  <c r="H317" i="1" s="1"/>
  <c r="F317" i="1"/>
  <c r="F314" i="1" s="1"/>
  <c r="I316" i="1"/>
  <c r="G316" i="1"/>
  <c r="H316" i="1" s="1"/>
  <c r="F316" i="1"/>
  <c r="I315" i="1"/>
  <c r="G315" i="1"/>
  <c r="H315" i="1" s="1"/>
  <c r="F315" i="1"/>
  <c r="G314" i="1"/>
  <c r="G325" i="1" s="1"/>
  <c r="E314" i="1"/>
  <c r="E325" i="1" s="1"/>
  <c r="D314" i="1"/>
  <c r="H306" i="1"/>
  <c r="F306" i="1"/>
  <c r="D288" i="1"/>
  <c r="G288" i="1" s="1"/>
  <c r="H287" i="1"/>
  <c r="F287" i="1"/>
  <c r="E287" i="1"/>
  <c r="H286" i="1"/>
  <c r="F286" i="1"/>
  <c r="F288" i="1" s="1"/>
  <c r="E286" i="1"/>
  <c r="H285" i="1"/>
  <c r="F285" i="1"/>
  <c r="E285" i="1"/>
  <c r="H284" i="1"/>
  <c r="H288" i="1" s="1"/>
  <c r="F284" i="1"/>
  <c r="G284" i="1" s="1"/>
  <c r="E284" i="1"/>
  <c r="E288" i="1" s="1"/>
  <c r="D277" i="1"/>
  <c r="E233" i="1"/>
  <c r="D233" i="1"/>
  <c r="G233" i="1" s="1"/>
  <c r="G232" i="1"/>
  <c r="H231" i="1"/>
  <c r="H233" i="1" s="1"/>
  <c r="F231" i="1"/>
  <c r="G231" i="1" s="1"/>
  <c r="E231" i="1"/>
  <c r="H230" i="1"/>
  <c r="G230" i="1"/>
  <c r="F230" i="1"/>
  <c r="F233" i="1" s="1"/>
  <c r="E230" i="1"/>
  <c r="H210" i="1"/>
  <c r="D210" i="1"/>
  <c r="H208" i="1"/>
  <c r="F208" i="1"/>
  <c r="G208" i="1" s="1"/>
  <c r="E208" i="1"/>
  <c r="H207" i="1"/>
  <c r="F207" i="1"/>
  <c r="E207" i="1"/>
  <c r="H206" i="1"/>
  <c r="F206" i="1"/>
  <c r="E206" i="1"/>
  <c r="H205" i="1"/>
  <c r="F205" i="1"/>
  <c r="F204" i="1" s="1"/>
  <c r="G204" i="1" s="1"/>
  <c r="E205" i="1"/>
  <c r="H204" i="1"/>
  <c r="E204" i="1"/>
  <c r="H203" i="1"/>
  <c r="F203" i="1"/>
  <c r="E203" i="1"/>
  <c r="H202" i="1"/>
  <c r="F202" i="1"/>
  <c r="E202" i="1"/>
  <c r="H201" i="1"/>
  <c r="F201" i="1"/>
  <c r="G201" i="1" s="1"/>
  <c r="E201" i="1"/>
  <c r="E210" i="1" s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I167" i="1"/>
  <c r="G167" i="1"/>
  <c r="H167" i="1" s="1"/>
  <c r="H166" i="1"/>
  <c r="E165" i="1"/>
  <c r="D165" i="1"/>
  <c r="H164" i="1"/>
  <c r="F164" i="1"/>
  <c r="H163" i="1"/>
  <c r="F163" i="1"/>
  <c r="H162" i="1"/>
  <c r="F162" i="1"/>
  <c r="I160" i="1"/>
  <c r="I159" i="1" s="1"/>
  <c r="G160" i="1"/>
  <c r="G159" i="1" s="1"/>
  <c r="G176" i="1" s="1"/>
  <c r="F161" i="1"/>
  <c r="F160" i="1" s="1"/>
  <c r="F159" i="1" s="1"/>
  <c r="E160" i="1"/>
  <c r="E159" i="1" s="1"/>
  <c r="E176" i="1" s="1"/>
  <c r="D160" i="1"/>
  <c r="D159" i="1" s="1"/>
  <c r="H158" i="1"/>
  <c r="F158" i="1"/>
  <c r="H157" i="1"/>
  <c r="I156" i="1"/>
  <c r="G156" i="1"/>
  <c r="H156" i="1" s="1"/>
  <c r="F156" i="1"/>
  <c r="I155" i="1"/>
  <c r="G155" i="1"/>
  <c r="G154" i="1" s="1"/>
  <c r="F155" i="1"/>
  <c r="I154" i="1"/>
  <c r="F154" i="1"/>
  <c r="F176" i="1" s="1"/>
  <c r="E154" i="1"/>
  <c r="D154" i="1"/>
  <c r="D176" i="1" s="1"/>
  <c r="C152" i="1"/>
  <c r="H132" i="1"/>
  <c r="H131" i="1"/>
  <c r="H129" i="1"/>
  <c r="F129" i="1"/>
  <c r="I128" i="1"/>
  <c r="G128" i="1"/>
  <c r="H128" i="1" s="1"/>
  <c r="F128" i="1"/>
  <c r="I127" i="1"/>
  <c r="H127" i="1"/>
  <c r="G127" i="1"/>
  <c r="F127" i="1"/>
  <c r="I126" i="1"/>
  <c r="G126" i="1"/>
  <c r="H126" i="1" s="1"/>
  <c r="F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I121" i="1" s="1"/>
  <c r="I120" i="1" s="1"/>
  <c r="G122" i="1"/>
  <c r="G121" i="1" s="1"/>
  <c r="G120" i="1" s="1"/>
  <c r="F122" i="1"/>
  <c r="F121" i="1" s="1"/>
  <c r="F120" i="1" s="1"/>
  <c r="E121" i="1"/>
  <c r="E120" i="1" s="1"/>
  <c r="E133" i="1" s="1"/>
  <c r="D121" i="1"/>
  <c r="D120" i="1" s="1"/>
  <c r="I119" i="1"/>
  <c r="G119" i="1"/>
  <c r="H119" i="1" s="1"/>
  <c r="H117" i="1" s="1"/>
  <c r="F119" i="1"/>
  <c r="F117" i="1" s="1"/>
  <c r="F133" i="1" s="1"/>
  <c r="I118" i="1"/>
  <c r="H118" i="1"/>
  <c r="G118" i="1"/>
  <c r="F118" i="1"/>
  <c r="I117" i="1"/>
  <c r="I133" i="1" s="1"/>
  <c r="G117" i="1"/>
  <c r="E117" i="1"/>
  <c r="D117" i="1"/>
  <c r="C114" i="1"/>
  <c r="H110" i="1"/>
  <c r="F110" i="1"/>
  <c r="D110" i="1"/>
  <c r="G62" i="1"/>
  <c r="G61" i="1"/>
  <c r="H56" i="1"/>
  <c r="I27" i="1" s="1"/>
  <c r="G56" i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F35" i="1"/>
  <c r="E34" i="1"/>
  <c r="E26" i="1" s="1"/>
  <c r="D34" i="1"/>
  <c r="I33" i="1"/>
  <c r="H33" i="1"/>
  <c r="G33" i="1"/>
  <c r="F33" i="1"/>
  <c r="E27" i="1"/>
  <c r="D27" i="1"/>
  <c r="D26" i="1"/>
  <c r="I25" i="1"/>
  <c r="G25" i="1"/>
  <c r="H25" i="1" s="1"/>
  <c r="H23" i="1" s="1"/>
  <c r="F25" i="1"/>
  <c r="I24" i="1"/>
  <c r="I23" i="1" s="1"/>
  <c r="H24" i="1"/>
  <c r="G24" i="1"/>
  <c r="F24" i="1"/>
  <c r="F23" i="1" s="1"/>
  <c r="G23" i="1"/>
  <c r="E23" i="1"/>
  <c r="E45" i="1" s="1"/>
  <c r="D23" i="1"/>
  <c r="D45" i="1" s="1"/>
  <c r="H16" i="1"/>
  <c r="F16" i="1"/>
  <c r="D16" i="1"/>
  <c r="I34" i="1" l="1"/>
  <c r="I26" i="1" s="1"/>
  <c r="I45" i="1" s="1"/>
  <c r="F34" i="1"/>
  <c r="G34" i="1"/>
  <c r="G27" i="1"/>
  <c r="F27" i="1"/>
  <c r="I176" i="1"/>
  <c r="D133" i="1"/>
  <c r="F325" i="1"/>
  <c r="F357" i="1"/>
  <c r="H34" i="1"/>
  <c r="H165" i="1"/>
  <c r="I325" i="1"/>
  <c r="F210" i="1"/>
  <c r="G210" i="1" s="1"/>
  <c r="H314" i="1"/>
  <c r="H325" i="1" s="1"/>
  <c r="H155" i="1"/>
  <c r="H154" i="1" s="1"/>
  <c r="G203" i="1"/>
  <c r="G286" i="1"/>
  <c r="G347" i="1"/>
  <c r="G357" i="1" s="1"/>
  <c r="H35" i="1"/>
  <c r="H122" i="1"/>
  <c r="H121" i="1" s="1"/>
  <c r="H120" i="1" s="1"/>
  <c r="H133" i="1" s="1"/>
  <c r="H161" i="1"/>
  <c r="H160" i="1" s="1"/>
  <c r="H159" i="1" s="1"/>
  <c r="H28" i="1"/>
  <c r="H27" i="1" s="1"/>
  <c r="F26" i="1" l="1"/>
  <c r="F45" i="1" s="1"/>
  <c r="G26" i="1"/>
  <c r="G45" i="1" s="1"/>
  <c r="H176" i="1"/>
  <c r="H26" i="1"/>
  <c r="H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<sst xmlns="http://schemas.openxmlformats.org/spreadsheetml/2006/main" count="333" uniqueCount="150">
  <si>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</si>
  <si>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</si>
  <si>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</si>
  <si>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</si>
  <si>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</si>
  <si>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</si>
  <si>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</si>
  <si>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</si>
  <si>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</si>
  <si>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</si>
  <si>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</si>
  <si>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</si>
  <si>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</si>
  <si>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</si>
  <si>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</si>
  <si>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</si>
  <si>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</si>
  <si>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</si>
  <si>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</si>
  <si>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</si>
  <si>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</si>
  <si>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</si>
  <si>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</si>
  <si>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</si>
  <si>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</si>
  <si>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</si>
  <si>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</si>
  <si>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</si>
  <si>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</si>
  <si>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</si>
  <si>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</si>
  <si>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</si>
  <si>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</si>
  <si>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</si>
  <si>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</si>
  <si>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</si>
  <si>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</si>
  <si>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</si>
  <si>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</si>
  <si>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</si>
  <si>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</si>
  <si>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</si>
  <si>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</si>
  <si>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</si>
  <si>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</si>
  <si>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</si>
  <si>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</si>
  <si>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</si>
  <si>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</si>
  <si>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</si>
  <si>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</si>
  <si>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</si>
  <si>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</si>
  <si>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</si>
  <si>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</si>
  <si>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</si>
  <si>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</si>
  <si>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</si>
  <si>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</si>
  <si>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</si>
  <si>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</si>
  <si>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</si>
  <si>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</si>
  <si>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</si>
  <si>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</si>
  <si>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</si>
  <si>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</si>
  <si>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</si>
  <si>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</si>
  <si>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</si>
  <si>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</si>
  <si>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</si>
  <si>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</si>
  <si>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</si>
  <si>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</si>
  <si>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</si>
  <si>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</si>
  <si>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</si>
  <si>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</si>
  <si>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</si>
  <si>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</si>
  <si>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</si>
  <si>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</si>
  <si>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</si>
  <si>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</si>
  <si>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</si>
  <si>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</si>
  <si>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</si>
  <si>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</si>
  <si>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</si>
  <si>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</si>
  <si>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</si>
  <si>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</si>
  <si>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</si>
  <si>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</si>
  <si>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</si>
  <si>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</si>
  <si>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</si>
  <si>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</si>
  <si>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</si>
  <si>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</si>
  <si>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</si>
  <si>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</si>
  <si>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</si>
  <si>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</si>
  <si>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</si>
  <si>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</si>
  <si>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</si>
  <si>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</si>
  <si>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</si>
  <si>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</si>
  <si>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</si>
  <si>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</si>
  <si>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</si>
  <si>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</si>
  <si>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</si>
  <si>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</si>
  <si>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</si>
  <si>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</si>
  <si>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</si>
  <si>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</si>
  <si>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</si>
  <si>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</si>
  <si>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</si>
  <si>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</si>
  <si>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</si>
  <si>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</si>
  <si>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</si>
  <si>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</si>
  <si>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</si>
  <si>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</si>
  <si>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</si>
  <si>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</si>
  <si>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</si>
  <si>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</si>
  <si>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</si>
  <si>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</si>
  <si>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</si>
  <si>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</si>
  <si>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</si>
  <si>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</si>
  <si>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</si>
  <si>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36</t>
  </si>
  <si>
    <t>FANGST T.O.M UKE 36</t>
  </si>
  <si>
    <t>RESTKVOTER UKE 36</t>
  </si>
  <si>
    <t>FANGST T.O.M UKE 36 2021</t>
  </si>
  <si>
    <r>
      <t xml:space="preserve">3 </t>
    </r>
    <r>
      <rPr>
        <sz val="9"/>
        <color indexed="8"/>
        <rFont val="Calibri"/>
        <family val="2"/>
      </rPr>
      <t>Registrert rekreasjonsfiske utgjør 772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</si>
  <si>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</si>
  <si>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444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</si>
  <si>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5118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</si>
</sst>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 * #,##0.00_ ;_ * \-#,##0.00_ ;_ * &quot;-&quot;??_ ;_ @_ "/>
    <numFmt numFmtId="166" formatCode="dd\.mm\.yyyy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MS Sans Serif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Palatino Linotype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48" fillId="0" borderId="54" applyNumberFormat="0" applyFill="0" applyAlignment="0" applyProtection="0"/>
    <xf numFmtId="0" fontId="49" fillId="0" borderId="55" applyNumberFormat="0" applyFill="0" applyAlignment="0" applyProtection="0"/>
    <xf numFmtId="0" fontId="50" fillId="0" borderId="56" applyNumberFormat="0" applyFill="0" applyAlignment="0" applyProtection="0"/>
    <xf numFmtId="0" fontId="50" fillId="0" borderId="0" applyNumberFormat="0" applyFill="0" applyBorder="0" applyAlignment="0" applyProtection="0"/>
    <xf numFmtId="0" fontId="51" fillId="4" borderId="0" applyNumberFormat="0" applyBorder="0" applyAlignment="0" applyProtection="0"/>
    <xf numFmtId="0" fontId="52" fillId="5" borderId="0" applyNumberFormat="0" applyBorder="0" applyAlignment="0" applyProtection="0"/>
    <xf numFmtId="0" fontId="53" fillId="7" borderId="57" applyNumberFormat="0" applyAlignment="0" applyProtection="0"/>
    <xf numFmtId="0" fontId="54" fillId="8" borderId="58" applyNumberFormat="0" applyAlignment="0" applyProtection="0"/>
    <xf numFmtId="0" fontId="55" fillId="8" borderId="57" applyNumberFormat="0" applyAlignment="0" applyProtection="0"/>
    <xf numFmtId="0" fontId="56" fillId="0" borderId="59" applyNumberFormat="0" applyFill="0" applyAlignment="0" applyProtection="0"/>
    <xf numFmtId="0" fontId="57" fillId="9" borderId="60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2" applyNumberFormat="0" applyFill="0" applyAlignment="0" applyProtection="0"/>
    <xf numFmtId="0" fontId="61" fillId="11" borderId="0" applyNumberFormat="0" applyBorder="0" applyAlignment="0" applyProtection="0"/>
    <xf numFmtId="0" fontId="61" fillId="15" borderId="0" applyNumberFormat="0" applyBorder="0" applyAlignment="0" applyProtection="0"/>
    <xf numFmtId="0" fontId="61" fillId="19" borderId="0" applyNumberFormat="0" applyBorder="0" applyAlignment="0" applyProtection="0"/>
    <xf numFmtId="0" fontId="61" fillId="23" borderId="0" applyNumberFormat="0" applyBorder="0" applyAlignment="0" applyProtection="0"/>
    <xf numFmtId="0" fontId="61" fillId="27" borderId="0" applyNumberFormat="0" applyBorder="0" applyAlignment="0" applyProtection="0"/>
    <xf numFmtId="0" fontId="61" fillId="31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14" borderId="0" applyNumberFormat="0" applyBorder="0" applyAlignment="0" applyProtection="0"/>
    <xf numFmtId="0" fontId="61" fillId="18" borderId="0" applyNumberFormat="0" applyBorder="0" applyAlignment="0" applyProtection="0"/>
    <xf numFmtId="0" fontId="61" fillId="22" borderId="0" applyNumberFormat="0" applyBorder="0" applyAlignment="0" applyProtection="0"/>
    <xf numFmtId="0" fontId="61" fillId="26" borderId="0" applyNumberFormat="0" applyBorder="0" applyAlignment="0" applyProtection="0"/>
    <xf numFmtId="0" fontId="61" fillId="30" borderId="0" applyNumberFormat="0" applyBorder="0" applyAlignment="0" applyProtection="0"/>
    <xf numFmtId="0" fontId="61" fillId="34" borderId="0" applyNumberFormat="0" applyBorder="0" applyAlignment="0" applyProtection="0"/>
    <xf numFmtId="166" fontId="63" fillId="0" borderId="0"/>
    <xf numFmtId="49" fontId="63" fillId="0" borderId="0"/>
    <xf numFmtId="49" fontId="63" fillId="0" borderId="0"/>
    <xf numFmtId="0" fontId="63" fillId="0" borderId="0"/>
    <xf numFmtId="0" fontId="63" fillId="0" borderId="0"/>
    <xf numFmtId="0" fontId="55" fillId="8" borderId="57" applyNumberFormat="0" applyAlignment="0" applyProtection="0"/>
    <xf numFmtId="0" fontId="52" fillId="5" borderId="0" applyNumberFormat="0" applyBorder="0" applyAlignment="0" applyProtection="0"/>
    <xf numFmtId="0" fontId="59" fillId="0" borderId="0" applyNumberFormat="0" applyFill="0" applyBorder="0" applyAlignment="0" applyProtection="0"/>
    <xf numFmtId="0" fontId="56" fillId="0" borderId="59" applyNumberFormat="0" applyFill="0" applyAlignment="0" applyProtection="0"/>
    <xf numFmtId="165" fontId="1" fillId="0" borderId="0" applyFont="0" applyFill="0" applyBorder="0" applyAlignment="0" applyProtection="0"/>
    <xf numFmtId="0" fontId="1" fillId="10" borderId="6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5" fillId="6" borderId="0" applyNumberFormat="0" applyBorder="0" applyAlignment="0" applyProtection="0"/>
    <xf numFmtId="9" fontId="62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14" fillId="0" borderId="8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 indent="1"/>
    </xf>
    <xf numFmtId="0" fontId="2" fillId="0" borderId="24" xfId="0" applyFont="1" applyBorder="1" applyAlignment="1">
      <alignment vertical="center" wrapText="1"/>
    </xf>
    <xf numFmtId="3" fontId="2" fillId="0" borderId="25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3" fontId="2" fillId="0" borderId="29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4" xfId="0" applyFont="1" applyBorder="1" applyAlignment="1">
      <alignment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9" fillId="0" borderId="12" xfId="0" applyNumberFormat="1" applyFont="1" applyBorder="1" applyAlignment="1">
      <alignment horizontal="right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9" xfId="0" applyNumberFormat="1" applyFont="1" applyBorder="1" applyAlignment="1">
      <alignment horizontal="right" vertical="center" wrapText="1"/>
    </xf>
    <xf numFmtId="0" fontId="7" fillId="2" borderId="32" xfId="0" applyFont="1" applyFill="1" applyBorder="1" applyAlignment="1">
      <alignment horizontal="center" vertical="center"/>
    </xf>
    <xf numFmtId="3" fontId="7" fillId="2" borderId="33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3" fontId="4" fillId="0" borderId="0" xfId="0" applyNumberFormat="1" applyFont="1" applyAlignment="1">
      <alignment vertical="center" wrapText="1"/>
    </xf>
    <xf numFmtId="164" fontId="21" fillId="0" borderId="1" xfId="0" applyNumberFormat="1" applyFont="1" applyBorder="1" applyAlignment="1">
      <alignment vertical="top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39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3" fontId="9" fillId="0" borderId="8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17" fillId="0" borderId="6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" fillId="0" borderId="1" xfId="0" applyFont="1" applyBorder="1"/>
    <xf numFmtId="3" fontId="24" fillId="0" borderId="0" xfId="0" applyNumberFormat="1" applyFont="1" applyAlignment="1">
      <alignment vertical="center"/>
    </xf>
    <xf numFmtId="0" fontId="4" fillId="0" borderId="43" xfId="0" applyFont="1" applyBorder="1" applyAlignment="1">
      <alignment vertical="center" wrapText="1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3" fontId="9" fillId="0" borderId="37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3" fontId="9" fillId="0" borderId="33" xfId="0" applyNumberFormat="1" applyFont="1" applyBorder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indent="1"/>
    </xf>
    <xf numFmtId="3" fontId="25" fillId="0" borderId="33" xfId="0" applyNumberFormat="1" applyFont="1" applyBorder="1" applyAlignment="1">
      <alignment horizontal="right" vertical="center" wrapText="1"/>
    </xf>
    <xf numFmtId="0" fontId="24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8" xfId="0" applyFont="1" applyFill="1" applyBorder="1" applyAlignment="1">
      <alignment horizontal="center" vertical="center"/>
    </xf>
    <xf numFmtId="0" fontId="2" fillId="0" borderId="0" xfId="0" applyFont="1"/>
    <xf numFmtId="0" fontId="24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3" xfId="0" applyFont="1" applyBorder="1"/>
    <xf numFmtId="0" fontId="11" fillId="0" borderId="0" xfId="0" applyFont="1" applyAlignment="1">
      <alignment vertical="center"/>
    </xf>
    <xf numFmtId="0" fontId="7" fillId="2" borderId="28" xfId="0" applyFont="1" applyFill="1" applyBorder="1" applyAlignment="1">
      <alignment vertical="center" wrapText="1"/>
    </xf>
    <xf numFmtId="3" fontId="2" fillId="0" borderId="40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9" fillId="0" borderId="37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4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9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3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vertical="center" wrapText="1"/>
    </xf>
    <xf numFmtId="3" fontId="23" fillId="0" borderId="0" xfId="0" applyNumberFormat="1" applyFont="1" applyAlignment="1">
      <alignment vertical="center"/>
    </xf>
    <xf numFmtId="3" fontId="23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vertical="center"/>
    </xf>
    <xf numFmtId="3" fontId="18" fillId="0" borderId="29" xfId="0" applyNumberFormat="1" applyFont="1" applyBorder="1" applyAlignment="1">
      <alignment horizontal="right" vertical="center" wrapText="1"/>
    </xf>
    <xf numFmtId="3" fontId="25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26" fillId="0" borderId="0" xfId="0" applyNumberFormat="1" applyFont="1" applyAlignment="1">
      <alignment horizontal="right" vertical="center" wrapText="1"/>
    </xf>
    <xf numFmtId="0" fontId="2" fillId="0" borderId="4" xfId="0" applyFont="1" applyBorder="1"/>
    <xf numFmtId="1" fontId="9" fillId="0" borderId="22" xfId="0" applyNumberFormat="1" applyFont="1" applyBorder="1" applyAlignment="1">
      <alignment horizontal="right" vertical="center"/>
    </xf>
    <xf numFmtId="0" fontId="28" fillId="0" borderId="0" xfId="0" applyFont="1"/>
    <xf numFmtId="0" fontId="29" fillId="0" borderId="7" xfId="0" applyFont="1" applyBorder="1" applyAlignment="1">
      <alignment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" fillId="0" borderId="32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5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3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2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40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0" fontId="11" fillId="0" borderId="40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47" xfId="0" applyNumberFormat="1" applyFont="1" applyBorder="1" applyAlignment="1">
      <alignment horizontal="right" vertical="center" indent="1"/>
    </xf>
    <xf numFmtId="3" fontId="24" fillId="0" borderId="25" xfId="0" applyNumberFormat="1" applyFont="1" applyBorder="1" applyAlignment="1">
      <alignment vertical="center"/>
    </xf>
    <xf numFmtId="0" fontId="4" fillId="0" borderId="40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4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3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42" fillId="0" borderId="0" xfId="0" applyFont="1" applyAlignment="1">
      <alignment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47" xfId="0" applyFont="1" applyFill="1" applyBorder="1" applyAlignment="1">
      <alignment horizontal="center" vertical="center"/>
    </xf>
  </cellXfs>
  <cellStyles count="88">
    <cellStyle name="20 % - uthevingsfarge 1" xfId="22" xr:uid="{F0F55590-2C35-4A58-819B-A17B8DC5BF8E}"/>
    <cellStyle name="20 % - uthevingsfarge 2" xfId="23" xr:uid="{2A50B50C-2120-43D8-B6C0-8C1D62245A02}"/>
    <cellStyle name="20 % - uthevingsfarge 3" xfId="24" xr:uid="{1DF6B0FE-A80F-41B8-A10B-853DCA7C8BA5}"/>
    <cellStyle name="20 % - uthevingsfarge 4" xfId="25" xr:uid="{166C7D56-0673-4F30-B8AB-5F23028699DE}"/>
    <cellStyle name="20 % - uthevingsfarge 5" xfId="26" xr:uid="{F3B50CEC-01B3-42D4-8EA5-1CB3DC22562E}"/>
    <cellStyle name="20 % - uthevingsfarge 6" xfId="27" xr:uid="{92F2B7DE-7AED-4860-A073-9B3320E9AAA6}"/>
    <cellStyle name="40 % - uthevingsfarge 1" xfId="28" xr:uid="{3832302B-8282-45C8-8651-97018D035963}"/>
    <cellStyle name="40 % - uthevingsfarge 2" xfId="29" xr:uid="{CCEACCC4-E50F-4E99-A5CA-8FDF0709A579}"/>
    <cellStyle name="40 % - uthevingsfarge 3" xfId="30" xr:uid="{18109F4E-4D33-4EC9-964E-3FB216D54F88}"/>
    <cellStyle name="40 % - uthevingsfarge 4" xfId="31" xr:uid="{404F7863-51BF-4681-B806-E4E5DBC12A11}"/>
    <cellStyle name="40 % - uthevingsfarge 5" xfId="32" xr:uid="{463033BE-210F-405C-9CDC-AA22E5232301}"/>
    <cellStyle name="40 % - uthevingsfarge 6" xfId="33" xr:uid="{9800C197-9A24-4E2E-983E-3E208AAA5AEC}"/>
    <cellStyle name="60 % - uthevingsfarge 1" xfId="34" xr:uid="{8E1AD33C-C1E0-4D95-A3C1-BD8149922745}"/>
    <cellStyle name="60 % - uthevingsfarge 2" xfId="35" xr:uid="{BFD413E0-E292-4889-A8CB-863E291E01C8}"/>
    <cellStyle name="60 % - uthevingsfarge 3" xfId="36" xr:uid="{D90935B8-F25C-48C7-9D68-9D34E31BA16B}"/>
    <cellStyle name="60 % - uthevingsfarge 4" xfId="37" xr:uid="{5FB288BA-E2F8-4325-9086-E6767647534F}"/>
    <cellStyle name="60 % - uthevingsfarge 5" xfId="38" xr:uid="{8A5E2504-D13F-4719-8829-4C8B18171DC7}"/>
    <cellStyle name="60 % - uthevingsfarge 6" xfId="39" xr:uid="{11B36BF4-5997-4266-A1B1-A890D5C1D097}"/>
    <cellStyle name="aqt1" xfId="40" xr:uid="{9545AF07-E167-4860-94F9-F85EFF93D687}"/>
    <cellStyle name="aqt2" xfId="41" xr:uid="{AEDC2C09-B789-4596-8CCE-AD5C9EE469B0}"/>
    <cellStyle name="aqt3" xfId="42" xr:uid="{F2C29AEC-0FE6-47C9-988B-CC0E76A8482F}"/>
    <cellStyle name="aqt4" xfId="43" xr:uid="{1AC660BF-B4D0-4B1F-A666-99EEC58E7263}"/>
    <cellStyle name="aqt5" xfId="44" xr:uid="{E172E463-CF85-48A6-946B-63334FBE6192}"/>
    <cellStyle name="Beregning" xfId="9" builtinId="22" customBuiltin="1"/>
    <cellStyle name="Beregning 2" xfId="45" xr:uid="{7C001F0C-8E41-462A-BF08-7144072D3B23}"/>
    <cellStyle name="Dårlig" xfId="6" builtinId="27" customBuiltin="1"/>
    <cellStyle name="Dårlig 2" xfId="46" xr:uid="{B304CEA4-1194-4E51-AF6A-F4D6ED4B3C07}"/>
    <cellStyle name="Forklarende tekst" xfId="13" builtinId="53" customBuiltin="1"/>
    <cellStyle name="Forklarende tekst 2" xfId="47" xr:uid="{193125B2-D0DB-41CC-B6F1-C10362597160}"/>
    <cellStyle name="God" xfId="5" builtinId="26" customBuiltin="1"/>
    <cellStyle name="Inndata" xfId="7" builtinId="20" customBuiltin="1"/>
    <cellStyle name="Koblet celle" xfId="10" builtinId="24" customBuiltin="1"/>
    <cellStyle name="Koblet celle 2" xfId="48" xr:uid="{E0E15844-3619-40A9-BD2D-562D726EACD8}"/>
    <cellStyle name="Komma 2" xfId="49" xr:uid="{70613190-A966-4CCB-B51B-32A04AE915BC}"/>
    <cellStyle name="Kontrollcelle" xfId="11" builtinId="23" customBuiltin="1"/>
    <cellStyle name="Merknad 2" xfId="50" xr:uid="{95D902A6-0E37-4AE7-96C1-D06336CE5117}"/>
    <cellStyle name="Normal" xfId="0" builtinId="0"/>
    <cellStyle name="Normal 11" xfId="51" xr:uid="{6D1FA491-92E4-4327-A361-20084B25C8A4}"/>
    <cellStyle name="Normal 12" xfId="52" xr:uid="{1118728C-D130-4B09-9622-9F9ED2B3E429}"/>
    <cellStyle name="Normal 13" xfId="53" xr:uid="{7B614B82-4CF4-4CE8-A9C7-E35D03BFFF01}"/>
    <cellStyle name="Normal 2" xfId="54" xr:uid="{57208276-D97E-46D4-A9B1-0993808EB2F8}"/>
    <cellStyle name="Normal 3" xfId="55" xr:uid="{B53F90A6-D591-48B2-8304-449EB83BFFC2}"/>
    <cellStyle name="Normal 3 2" xfId="56" xr:uid="{18C55B44-7E5A-441B-9F1D-2B07C67CC1F9}"/>
    <cellStyle name="Normal 3 2 2" xfId="57" xr:uid="{F173AA7E-178F-4235-B882-85D24F0532C7}"/>
    <cellStyle name="Normal 3 2_UKE_10_2015" xfId="58" xr:uid="{B0A8806B-B300-41C9-ABD2-0CDF480F1D9A}"/>
    <cellStyle name="Normal 3 3" xfId="59" xr:uid="{32B84BD7-55D8-40C1-807C-576A13DB4E2C}"/>
    <cellStyle name="Normal 3_UKE_10_2015" xfId="60" xr:uid="{35554485-1AE2-4039-BA92-CE54E3A40521}"/>
    <cellStyle name="Normal 4" xfId="61" xr:uid="{AE56EE6B-D4EE-4AE7-89C9-A1AAA41B7B11}"/>
    <cellStyle name="Normal 4 2" xfId="62" xr:uid="{FA1458CC-2EA1-4825-BD6E-9BFC6DDCAC8C}"/>
    <cellStyle name="Normal 4_UKE_10_2015" xfId="63" xr:uid="{5C2CA621-BBB8-4888-A94D-CF4490C05C28}"/>
    <cellStyle name="Normal 5" xfId="64" xr:uid="{1B2CB7FC-8155-44B4-AF63-63DBC25282A6}"/>
    <cellStyle name="Normal 6" xfId="21" xr:uid="{940FD310-EC66-40DF-8618-112143CFA97E}"/>
    <cellStyle name="Nøytral 2" xfId="65" xr:uid="{67DE5D06-E1E2-4D9D-8657-870D56B2AC09}"/>
    <cellStyle name="Overskrift 1" xfId="1" builtinId="16" customBuiltin="1"/>
    <cellStyle name="Overskrift 2" xfId="2" builtinId="17" customBuiltin="1"/>
    <cellStyle name="Overskrift 3" xfId="3" builtinId="18" customBuiltin="1"/>
    <cellStyle name="Overskrift 4" xfId="4" builtinId="19" customBuiltin="1"/>
    <cellStyle name="Prosent 2" xfId="66" xr:uid="{1F343BE2-DAA4-4ED2-8B79-96A215408901}"/>
    <cellStyle name="Prosent 3" xfId="87" xr:uid="{21F36EF0-3D66-4C92-8235-912080816BF9}"/>
    <cellStyle name="Tittel 2" xfId="67" xr:uid="{7E836F13-1CB9-40AD-881F-9788A793C559}"/>
    <cellStyle name="Totalt" xfId="14" builtinId="25" customBuiltin="1"/>
    <cellStyle name="Tusenskille 2" xfId="68" xr:uid="{B5C3E4E0-9ED3-4BAD-AD27-4C0818F95FF5}"/>
    <cellStyle name="Tusenskille 2 2" xfId="69" xr:uid="{9F510543-E3C2-46F0-A12B-5AEAB5B1FBFA}"/>
    <cellStyle name="Tusenskille 3" xfId="70" xr:uid="{023FECD7-562F-4278-85EE-5ADC5F91A3B7}"/>
    <cellStyle name="Tusenskille 3 2" xfId="71" xr:uid="{5986AD20-40CE-4B59-802C-EA7C4069A766}"/>
    <cellStyle name="Tusenskille 3 2 2" xfId="72" xr:uid="{31E4A4F3-0333-459B-B4C6-01474D3A4EED}"/>
    <cellStyle name="Tusenskille 3 2 2 2" xfId="73" xr:uid="{2E906169-E6CE-47F8-91BD-5BDA1BE58F0A}"/>
    <cellStyle name="Tusenskille 3 2 3" xfId="74" xr:uid="{F30AC5B4-3DD5-42D3-82FF-82118E4C159C}"/>
    <cellStyle name="Tusenskille 3 2_tot_14" xfId="75" xr:uid="{1FFD37E4-DC6D-4A2C-B4AF-E2463C2FA749}"/>
    <cellStyle name="Tusenskille 3 3" xfId="76" xr:uid="{D272E767-1ED1-45FC-8F64-812AA9B16F97}"/>
    <cellStyle name="Tusenskille 3 3 2" xfId="77" xr:uid="{E5A143AA-ECC8-4CC9-9560-B79E1FE8311B}"/>
    <cellStyle name="Tusenskille 3 4" xfId="78" xr:uid="{9449AFD6-6691-4305-ACE1-A02E5ED984F6}"/>
    <cellStyle name="Tusenskille 3_tot_14" xfId="79" xr:uid="{80D59ED6-CB17-4F22-8ACA-C08A97ED8169}"/>
    <cellStyle name="Tusenskille 4" xfId="80" xr:uid="{08E4993D-EAE2-4A43-B5D9-F589C675A4FD}"/>
    <cellStyle name="Tusenskille 4 2" xfId="81" xr:uid="{BC29BAEE-B306-4D15-ADC7-E41547715DD5}"/>
    <cellStyle name="Tusenskille 4 2 2" xfId="82" xr:uid="{AACDE3BA-D9EC-4F85-8D1F-B73A8CCB68B6}"/>
    <cellStyle name="Tusenskille 4 3" xfId="83" xr:uid="{F21072C3-7932-4CFA-A039-F5B942A51426}"/>
    <cellStyle name="Tusenskille 4_tot_14" xfId="84" xr:uid="{00686826-CDA9-48BA-9F1A-08559BCF95C8}"/>
    <cellStyle name="Tusenskille 5" xfId="85" xr:uid="{1D13C503-ECDD-42F6-8980-18657A8142F1}"/>
    <cellStyle name="Tusenskille 5 2" xfId="86" xr:uid="{56852677-0364-4674-8CBB-EBECE8E9FC09}"/>
    <cellStyle name="Utdata" xfId="8" builtinId="21" customBuiltin="1"/>
    <cellStyle name="Uthevingsfarge1" xfId="15" builtinId="29" customBuiltin="1"/>
    <cellStyle name="Uthevingsfarge2" xfId="16" builtinId="33" customBuiltin="1"/>
    <cellStyle name="Uthevingsfarge3" xfId="17" builtinId="37" customBuiltin="1"/>
    <cellStyle name="Uthevingsfarge4" xfId="18" builtinId="41" customBuiltin="1"/>
    <cellStyle name="Uthevingsfarge5" xfId="19" builtinId="45" customBuiltin="1"/>
    <cellStyle name="Uthevingsfarge6" xfId="20" builtinId="49" customBuiltin="1"/>
    <cellStyle name="Varselteks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zoomScale="70" zoomScaleNormal="70" zoomScaleSheetLayoutView="100" zoomScalePageLayoutView="85" workbookViewId="0">
      <selection activeCell="K31" sqref="K31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0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9" t="s">
        <v>2</v>
      </c>
      <c r="D11" s="300"/>
      <c r="E11" s="299" t="s">
        <v>3</v>
      </c>
      <c r="F11" s="300"/>
      <c r="G11" s="299" t="s">
        <v>4</v>
      </c>
      <c r="H11" s="300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889.03049999999996</v>
      </c>
      <c r="G23" s="28">
        <f t="shared" si="0"/>
        <v>71912.891940000001</v>
      </c>
      <c r="H23" s="11">
        <f t="shared" si="0"/>
        <v>40779.108059999991</v>
      </c>
      <c r="I23" s="11">
        <f t="shared" si="0"/>
        <v>63476.264609999998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877.0215</f>
        <v>877.02149999999995</v>
      </c>
      <c r="G24" s="23">
        <f>71528.81497</f>
        <v>71528.814970000007</v>
      </c>
      <c r="H24" s="23">
        <f>E24-G24</f>
        <v>40370.185029999993</v>
      </c>
      <c r="I24" s="23">
        <f>63153.05091</f>
        <v>63153.050909999998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12.009</f>
        <v>12.009</v>
      </c>
      <c r="G25" s="23">
        <f>384.07697</f>
        <v>384.07697000000002</v>
      </c>
      <c r="H25" s="23">
        <f>E25-G25</f>
        <v>408.92302999999998</v>
      </c>
      <c r="I25" s="23">
        <f>323.2137</f>
        <v>323.21370000000002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458.48358999999999</v>
      </c>
      <c r="G26" s="11">
        <f t="shared" si="1"/>
        <v>210848.36059999993</v>
      </c>
      <c r="H26" s="11">
        <f t="shared" si="1"/>
        <v>47167.639400000102</v>
      </c>
      <c r="I26" s="11">
        <f t="shared" si="1"/>
        <v>217939.08244099998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391.27602999999999</v>
      </c>
      <c r="G27" s="136">
        <f t="shared" si="2"/>
        <v>171436.72285999992</v>
      </c>
      <c r="H27" s="136">
        <f t="shared" si="2"/>
        <v>27485.2771400001</v>
      </c>
      <c r="I27" s="136">
        <f t="shared" si="2"/>
        <v>180787.98096099999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v>51.114900000000006</v>
      </c>
      <c r="G28" s="130">
        <v>42803.15393</v>
      </c>
      <c r="H28" s="130">
        <f t="shared" ref="H28:H40" si="3">E28-G28</f>
        <v>7794.8460699999996</v>
      </c>
      <c r="I28" s="130">
        <v>42410.037830000001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v>68.183320000000009</v>
      </c>
      <c r="G29" s="130">
        <v>46564.493459999998</v>
      </c>
      <c r="H29" s="130">
        <f t="shared" si="3"/>
        <v>5528.5065400000021</v>
      </c>
      <c r="I29" s="130">
        <v>49714.568209999998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v>19.065989999999999</v>
      </c>
      <c r="G30" s="130">
        <v>44254.494960000004</v>
      </c>
      <c r="H30" s="130">
        <f t="shared" si="3"/>
        <v>6481.5050399999964</v>
      </c>
      <c r="I30" s="130">
        <v>43920.279928999997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v>33.911819999999999</v>
      </c>
      <c r="G31" s="130">
        <v>32826.580509999898</v>
      </c>
      <c r="H31" s="130">
        <f t="shared" si="3"/>
        <v>368.41949000010209</v>
      </c>
      <c r="I31" s="130">
        <v>36477.094991999998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v>219</v>
      </c>
      <c r="G32" s="130">
        <v>4988</v>
      </c>
      <c r="H32" s="130">
        <f t="shared" si="3"/>
        <v>7312</v>
      </c>
      <c r="I32" s="130">
        <v>8266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0.30621</f>
        <v>0.30620999999999998</v>
      </c>
      <c r="G33" s="136">
        <f>18608.63429</f>
        <v>18608.634290000002</v>
      </c>
      <c r="H33" s="136">
        <f t="shared" si="3"/>
        <v>13126.365709999998</v>
      </c>
      <c r="I33" s="136">
        <f>19099.22186</f>
        <v>19099.221860000001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66.901350000000008</v>
      </c>
      <c r="G34" s="136">
        <f>G35+G36</f>
        <v>20803.00345</v>
      </c>
      <c r="H34" s="136">
        <f t="shared" si="3"/>
        <v>6555.9965499999998</v>
      </c>
      <c r="I34" s="136">
        <f>I35+I36</f>
        <v>18051.87962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39.90135</f>
        <v>39.901350000000001</v>
      </c>
      <c r="G35" s="71">
        <f>22471.00345-F61-F62</f>
        <v>20239.00345</v>
      </c>
      <c r="H35" s="130">
        <f t="shared" si="3"/>
        <v>5619.9965499999998</v>
      </c>
      <c r="I35" s="130">
        <f>21119.87962-H61-H62</f>
        <v>16999.87962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27</v>
      </c>
      <c r="G36" s="74">
        <f>F61</f>
        <v>564</v>
      </c>
      <c r="H36" s="74">
        <f t="shared" si="3"/>
        <v>936</v>
      </c>
      <c r="I36" s="74">
        <f>H61</f>
        <v>1052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0.21615</f>
        <v>0.21615000000000001</v>
      </c>
      <c r="G38" s="102">
        <f>458.80678</f>
        <v>458.80678</v>
      </c>
      <c r="H38" s="102">
        <f t="shared" si="3"/>
        <v>512.19322</v>
      </c>
      <c r="I38" s="102">
        <f>480.4627</f>
        <v>480.46269999999998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1</v>
      </c>
      <c r="G39" s="102">
        <f>F62</f>
        <v>1668</v>
      </c>
      <c r="H39" s="102">
        <f t="shared" si="3"/>
        <v>2159</v>
      </c>
      <c r="I39" s="102">
        <f>H62</f>
        <v>3068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2.9403</f>
        <v>2.9403000000000001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1580.0012</f>
        <v>1580.0011999999999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1351.6735399999998</v>
      </c>
      <c r="G45" s="80">
        <f>G23+G26+G37+G38+G39+G40-772+G41+G42+G43+G44</f>
        <v>291553.36126999994</v>
      </c>
      <c r="H45" s="80">
        <f t="shared" si="4"/>
        <v>92954.576730000073</v>
      </c>
      <c r="I45" s="80">
        <f t="shared" si="4"/>
        <v>294980.62762999994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1" t="s">
        <v>49</v>
      </c>
      <c r="D53" s="301"/>
      <c r="E53" s="301"/>
      <c r="F53" s="301"/>
      <c r="G53" s="301"/>
      <c r="H53" s="301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2">
        <v>12300</v>
      </c>
      <c r="E56" s="11">
        <f>E60+E59+E58+E57</f>
        <v>219</v>
      </c>
      <c r="F56" s="11">
        <f>F60+F59+F58+F57</f>
        <v>4988</v>
      </c>
      <c r="G56" s="302">
        <f>D56-F56</f>
        <v>7312</v>
      </c>
      <c r="H56" s="11">
        <f>H60+H59+H58+H57</f>
        <v>8266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3"/>
      <c r="E57" s="130">
        <v>53</v>
      </c>
      <c r="F57" s="130">
        <v>613</v>
      </c>
      <c r="G57" s="303"/>
      <c r="H57" s="130">
        <v>1289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3"/>
      <c r="E58" s="130">
        <v>98</v>
      </c>
      <c r="F58" s="130">
        <v>1855</v>
      </c>
      <c r="G58" s="303"/>
      <c r="H58" s="130">
        <v>2058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3"/>
      <c r="E59" s="130">
        <v>49</v>
      </c>
      <c r="F59" s="130">
        <v>1599</v>
      </c>
      <c r="G59" s="303"/>
      <c r="H59" s="130">
        <v>3270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304"/>
      <c r="E60" s="196">
        <v>19</v>
      </c>
      <c r="F60" s="196">
        <v>921</v>
      </c>
      <c r="G60" s="304"/>
      <c r="H60" s="196">
        <v>1649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27</v>
      </c>
      <c r="F61" s="98">
        <v>564</v>
      </c>
      <c r="G61" s="98">
        <f>D61-F61</f>
        <v>936</v>
      </c>
      <c r="H61" s="98">
        <v>1052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1</v>
      </c>
      <c r="F62" s="143">
        <v>1668</v>
      </c>
      <c r="G62" s="143">
        <f>D62-F62</f>
        <v>2159</v>
      </c>
      <c r="H62" s="143">
        <v>3068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9" t="s">
        <v>2</v>
      </c>
      <c r="D106" s="300"/>
      <c r="E106" s="299" t="s">
        <v>3</v>
      </c>
      <c r="F106" s="305"/>
      <c r="G106" s="299" t="s">
        <v>4</v>
      </c>
      <c r="H106" s="300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29.213799999999999</v>
      </c>
      <c r="G117" s="11">
        <f t="shared" si="5"/>
        <v>36356.019079999998</v>
      </c>
      <c r="H117" s="11">
        <f t="shared" si="5"/>
        <v>-3670.01908</v>
      </c>
      <c r="I117" s="11">
        <f t="shared" si="5"/>
        <v>42541.238870000001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29.127</f>
        <v>29.126999999999999</v>
      </c>
      <c r="G118" s="23">
        <f>35639.70061</f>
        <v>35639.70061</v>
      </c>
      <c r="H118" s="23">
        <f>E118-G118</f>
        <v>-3736.7006099999999</v>
      </c>
      <c r="I118" s="23">
        <f>41886.51833</f>
        <v>41886.518329999999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0.0868</f>
        <v>8.6800000000000002E-2</v>
      </c>
      <c r="G119" s="52">
        <f>716.31847</f>
        <v>716.31847000000005</v>
      </c>
      <c r="H119" s="52">
        <f>E119-G119</f>
        <v>66.681529999999952</v>
      </c>
      <c r="I119" s="52">
        <f>654.72054</f>
        <v>654.72054000000003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517.79249000000004</v>
      </c>
      <c r="G120" s="11">
        <f t="shared" si="6"/>
        <v>33080.55977</v>
      </c>
      <c r="H120" s="11">
        <f t="shared" si="6"/>
        <v>35129.44023</v>
      </c>
      <c r="I120" s="11">
        <f t="shared" si="6"/>
        <v>36124.065029999998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463.36980000000005</v>
      </c>
      <c r="G121" s="136">
        <f t="shared" si="7"/>
        <v>25651.149379999999</v>
      </c>
      <c r="H121" s="136">
        <f t="shared" si="7"/>
        <v>25357.850620000001</v>
      </c>
      <c r="I121" s="136">
        <f t="shared" si="7"/>
        <v>28969.75835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66.32545</f>
        <v>66.325450000000004</v>
      </c>
      <c r="G122" s="130">
        <f>2931.92147</f>
        <v>2931.9214700000002</v>
      </c>
      <c r="H122" s="130">
        <f t="shared" ref="H122:H129" si="8">E122-G122</f>
        <v>10726.078529999999</v>
      </c>
      <c r="I122" s="130">
        <f>3558.00992</f>
        <v>3558.00992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179.24961</f>
        <v>179.24960999999999</v>
      </c>
      <c r="G123" s="130">
        <f>9054.59375</f>
        <v>9054.59375</v>
      </c>
      <c r="H123" s="130">
        <f t="shared" si="8"/>
        <v>5485.40625</v>
      </c>
      <c r="I123" s="130">
        <f>9270.82798</f>
        <v>9270.82798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61.75062</f>
        <v>61.750619999999998</v>
      </c>
      <c r="G124" s="130">
        <f>6925.30247</f>
        <v>6925.3024699999996</v>
      </c>
      <c r="H124" s="130">
        <f t="shared" si="8"/>
        <v>6872.6975300000004</v>
      </c>
      <c r="I124" s="130">
        <f>10343.54043</f>
        <v>10343.540429999999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156.04412</f>
        <v>156.04411999999999</v>
      </c>
      <c r="G125" s="130">
        <f>6739.33169</f>
        <v>6739.33169</v>
      </c>
      <c r="H125" s="130">
        <f t="shared" si="8"/>
        <v>2273.66831</v>
      </c>
      <c r="I125" s="130">
        <f>5797.38002</f>
        <v>5797.3800199999996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0.06498</f>
        <v>6.4979999999999996E-2</v>
      </c>
      <c r="G126" s="136">
        <f>5863.6039</f>
        <v>5863.6039000000001</v>
      </c>
      <c r="H126" s="136">
        <f t="shared" si="8"/>
        <v>6044.3960999999999</v>
      </c>
      <c r="I126" s="136">
        <f>5895.08086</f>
        <v>5895.08086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54.35771</f>
        <v>54.357709999999997</v>
      </c>
      <c r="G127" s="78">
        <f>1565.80649</f>
        <v>1565.8064899999999</v>
      </c>
      <c r="H127" s="78">
        <f t="shared" si="8"/>
        <v>3727.1935100000001</v>
      </c>
      <c r="I127" s="78">
        <f>1259.22582</f>
        <v>1259.2258200000001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0.04378</f>
        <v>4.3779999999999999E-2</v>
      </c>
      <c r="G128" s="102">
        <f>22.03861</f>
        <v>22.038609999999998</v>
      </c>
      <c r="H128" s="102">
        <f t="shared" si="8"/>
        <v>367.96138999999999</v>
      </c>
      <c r="I128" s="102">
        <f>35.08867</f>
        <v>35.08867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0.11722</f>
        <v>0.11722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" si="9">F117+F120+F128+F129+F130+F131+F132</f>
        <v>547.16728999999998</v>
      </c>
      <c r="G133" s="80">
        <f>G117+G120+G128-52+G129+G130+G131+G132</f>
        <v>69715.385259999981</v>
      </c>
      <c r="H133" s="80">
        <f>H117+H120+H128+H129+H130+H131+H132</f>
        <v>31868.614740000015</v>
      </c>
      <c r="I133" s="80">
        <f>I117+I120+I128+I129+I130+I131+I132</f>
        <v>79145.03654999999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165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251.28360000000001</v>
      </c>
      <c r="G154" s="11">
        <f t="shared" si="10"/>
        <v>44040.536660000005</v>
      </c>
      <c r="H154" s="11">
        <f t="shared" si="10"/>
        <v>18142.463339999998</v>
      </c>
      <c r="I154" s="11">
        <f t="shared" si="10"/>
        <v>45736.6178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251.2836</f>
        <v>251.28360000000001</v>
      </c>
      <c r="G155" s="23">
        <f>37549.6926</f>
        <v>37549.692600000002</v>
      </c>
      <c r="H155" s="23">
        <f>E155-G155</f>
        <v>12115.307399999998</v>
      </c>
      <c r="I155" s="23">
        <f>40664.547</f>
        <v>40664.546999999999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0</f>
        <v>0</v>
      </c>
      <c r="G156" s="23">
        <f>6490.84406</f>
        <v>6490.8440600000004</v>
      </c>
      <c r="H156" s="23">
        <f>E156-G156</f>
        <v>5527.1559399999996</v>
      </c>
      <c r="I156" s="23">
        <f>5072.0708</f>
        <v>5072.0708000000004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1864.608</f>
        <v>1864.6079999999999</v>
      </c>
      <c r="G158" s="98">
        <f>39156.62748+5118</f>
        <v>44274.627480000003</v>
      </c>
      <c r="H158" s="98">
        <f>E158-G158</f>
        <v>4732.3725199999972</v>
      </c>
      <c r="I158" s="98">
        <f>29036.13807+4371</f>
        <v>33407.138070000001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1517.83158</v>
      </c>
      <c r="G159" s="97">
        <f t="shared" ref="G159" si="11">G160+G165+G168</f>
        <v>51552.401969999999</v>
      </c>
      <c r="H159" s="97">
        <f>H160+H165+H168</f>
        <v>18221.598030000001</v>
      </c>
      <c r="I159" s="97">
        <f>I160+I165+I168</f>
        <v>46971.28557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1138.81511</v>
      </c>
      <c r="G160" s="128">
        <f>G161+G162+G164+G163</f>
        <v>39415.852760000002</v>
      </c>
      <c r="H160" s="128">
        <f>H161+H162+H163+H164</f>
        <v>12569.14724</v>
      </c>
      <c r="I160" s="128">
        <f>I161+I162+I163+I164</f>
        <v>35298.716160000004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391.04012</f>
        <v>391.04012</v>
      </c>
      <c r="G161" s="130">
        <v>7195.6258900000003</v>
      </c>
      <c r="H161" s="130">
        <f>E161-G161</f>
        <v>8111.3741099999997</v>
      </c>
      <c r="I161" s="130">
        <v>7711.9619199999997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316.233</f>
        <v>316.233</v>
      </c>
      <c r="G162" s="130">
        <v>11091.690930000001</v>
      </c>
      <c r="H162" s="130">
        <f>E162-G162</f>
        <v>1767.3090699999993</v>
      </c>
      <c r="I162" s="130">
        <v>9649.6940099999993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193.29999</f>
        <v>193.29999000000001</v>
      </c>
      <c r="G163" s="130">
        <v>10606.638859999999</v>
      </c>
      <c r="H163" s="130">
        <f>E163-G163</f>
        <v>3088.3611400000009</v>
      </c>
      <c r="I163" s="130">
        <v>8341.1729300000006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238.242</f>
        <v>238.24199999999999</v>
      </c>
      <c r="G164" s="130">
        <v>10521.897080000001</v>
      </c>
      <c r="H164" s="130">
        <f>E164-G164</f>
        <v>-397.89708000000064</v>
      </c>
      <c r="I164" s="130">
        <v>9595.8873000000003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369.10882</f>
        <v>369.10881999999998</v>
      </c>
      <c r="G168" s="78">
        <f>6127.93718</f>
        <v>6127.9371799999999</v>
      </c>
      <c r="H168" s="78">
        <f t="shared" si="12"/>
        <v>3407.0628200000001</v>
      </c>
      <c r="I168" s="78">
        <f>6293.41822</f>
        <v>6293.4182199999996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0.21735</f>
        <v>0.21734999999999999</v>
      </c>
      <c r="G169" s="143">
        <f>21.76787</f>
        <v>21.767869999999998</v>
      </c>
      <c r="H169" s="143">
        <f t="shared" si="12"/>
        <v>120.23213</v>
      </c>
      <c r="I169" s="143">
        <f>20.28536</f>
        <v>20.285360000000001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15.05886</f>
        <v>15.058859999999999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3649.8813899999996</v>
      </c>
      <c r="G176" s="80">
        <f>G154+G158+G159+G169+G170+G171-444+G172+G173+G174</f>
        <v>142180.13678</v>
      </c>
      <c r="H176" s="80">
        <f>H154+H158+H159+H169+H170+H171+H172+H173+H174</f>
        <v>40788.863220000014</v>
      </c>
      <c r="I176" s="80">
        <f>I154+I158+I159+I169+I170+I171+I172+I173+I174</f>
        <v>128821.1185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16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292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0.8541</f>
        <v>0.85409999999999997</v>
      </c>
      <c r="F201" s="276">
        <f>1722.63573</f>
        <v>1722.63573</v>
      </c>
      <c r="G201" s="45">
        <f>D201-F201-F202</f>
        <v>1939.12166</v>
      </c>
      <c r="H201" s="276">
        <f>1337.38473</f>
        <v>1337.38473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0</f>
        <v>0</v>
      </c>
      <c r="F202" s="156">
        <f>1420.24261</f>
        <v>1420.24261</v>
      </c>
      <c r="G202" s="217"/>
      <c r="H202" s="156">
        <f>1673.22707</f>
        <v>1673.2270699999999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0.2856</f>
        <v>0.28560000000000002</v>
      </c>
      <c r="F203" s="176">
        <f>50.19924</f>
        <v>50.199240000000003</v>
      </c>
      <c r="G203" s="176">
        <f>D203-F203</f>
        <v>149.80076</v>
      </c>
      <c r="H203" s="176">
        <f>67.15349</f>
        <v>67.153490000000005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20.364609999999999</v>
      </c>
      <c r="F204" s="185">
        <f>F205+F206+F207</f>
        <v>7608.2667600000004</v>
      </c>
      <c r="G204" s="185">
        <f>D204-F204</f>
        <v>13.733239999999569</v>
      </c>
      <c r="H204" s="185">
        <f>H205+H206+H207</f>
        <v>7585.7761200000004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3.4707</f>
        <v>3.4706999999999999</v>
      </c>
      <c r="F205" s="130">
        <f>3937.09462</f>
        <v>3937.0946199999998</v>
      </c>
      <c r="G205" s="130"/>
      <c r="H205" s="130">
        <f>3818.41947</f>
        <v>3818.4194699999998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13.862</f>
        <v>13.862</v>
      </c>
      <c r="F206" s="130">
        <f>2404.58082</f>
        <v>2404.5808200000001</v>
      </c>
      <c r="G206" s="130"/>
      <c r="H206" s="130">
        <f>2357.53271</f>
        <v>2357.53271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3.03191</f>
        <v>3.0319099999999999</v>
      </c>
      <c r="F207" s="196">
        <f>1266.59132</f>
        <v>1266.59132</v>
      </c>
      <c r="G207" s="196"/>
      <c r="H207" s="196">
        <f>1409.82394</f>
        <v>1409.82394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21.50431</v>
      </c>
      <c r="F210" s="198">
        <f>F201+F202+F203+F204+F208+F209</f>
        <v>10801.34434</v>
      </c>
      <c r="G210" s="198">
        <f>D210-F210</f>
        <v>2173.6556600000004</v>
      </c>
      <c r="H210" s="198">
        <f>H201+H202+H203+H204+H208+H209</f>
        <v>10664.170609999999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0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11.51974</f>
        <v>11.519740000000001</v>
      </c>
      <c r="F230" s="124">
        <f>34394.71455</f>
        <v>34394.714549999997</v>
      </c>
      <c r="G230" s="124">
        <f>D230-F230</f>
        <v>9744.285450000003</v>
      </c>
      <c r="H230" s="124">
        <f>42223.82816</f>
        <v>42223.828159999997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10.7145</f>
        <v>10.714499999999999</v>
      </c>
      <c r="F231" s="124">
        <f>49.79481</f>
        <v>49.794809999999998</v>
      </c>
      <c r="G231" s="124">
        <f>D231-F231</f>
        <v>50.205190000000002</v>
      </c>
      <c r="H231" s="124">
        <f>28.60675</f>
        <v>28.606750000000002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22.23424</v>
      </c>
      <c r="F233" s="190">
        <f>SUM(F230:F232)</f>
        <v>34444.509359999996</v>
      </c>
      <c r="G233" s="190">
        <f>D233-F233</f>
        <v>9846.4906400000036</v>
      </c>
      <c r="H233" s="190">
        <f>SUM(H230:H232)</f>
        <v>42252.434909999996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4.52411</f>
        <v>4.5241100000000003</v>
      </c>
      <c r="F284" s="124">
        <f>255.83395</f>
        <v>255.83394999999999</v>
      </c>
      <c r="G284" s="45">
        <f>D284-F284-F285</f>
        <v>216.52102000000014</v>
      </c>
      <c r="H284" s="124">
        <f>414.78755</f>
        <v>414.78755000000001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25.70862</f>
        <v>25.70862</v>
      </c>
      <c r="F285" s="124">
        <f>1392.64503</f>
        <v>1392.6450299999999</v>
      </c>
      <c r="G285" s="140"/>
      <c r="H285" s="124">
        <f>884.02619</f>
        <v>884.02619000000004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0.9582</f>
        <v>0.95820000000000005</v>
      </c>
      <c r="G286" s="124">
        <f>D286-F286</f>
        <v>4.0418000000000003</v>
      </c>
      <c r="H286" s="168">
        <f>1.212</f>
        <v>1.212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</f>
        <v>0</v>
      </c>
      <c r="F287" s="168">
        <f>6.75208</f>
        <v>6.7520800000000003</v>
      </c>
      <c r="G287" s="124"/>
      <c r="H287" s="168">
        <f>2.79945</f>
        <v>2.7994500000000002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30.23273</v>
      </c>
      <c r="F288" s="190">
        <f>SUM(F284:F287)</f>
        <v>1656.1892599999999</v>
      </c>
      <c r="G288" s="190">
        <f>D288-F288</f>
        <v>213.81074000000012</v>
      </c>
      <c r="H288" s="190">
        <f>H284+H285+H286+H287</f>
        <v>1302.82519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0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29.996880000000001</v>
      </c>
      <c r="G314" s="253">
        <f t="shared" si="14"/>
        <v>4296.5655700000007</v>
      </c>
      <c r="H314" s="253">
        <f>H318+H317+H316+H315</f>
        <v>7807.4344299999993</v>
      </c>
      <c r="I314" s="253">
        <f t="shared" si="14"/>
        <v>11690.526740000001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0</f>
        <v>0</v>
      </c>
      <c r="G315" s="257">
        <f>1823.99638</f>
        <v>1823.99638</v>
      </c>
      <c r="H315" s="257">
        <f t="shared" ref="H315:H319" si="15">E315-G315</f>
        <v>3434.00362</v>
      </c>
      <c r="I315" s="257">
        <f>7201.18919</f>
        <v>7201.1891900000001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479.0124</f>
        <v>479.01240000000001</v>
      </c>
      <c r="H316" s="257">
        <f t="shared" si="15"/>
        <v>889.98759999999993</v>
      </c>
      <c r="I316" s="257">
        <f>1022.5022</f>
        <v>1022.5022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17.05008</f>
        <v>17.050080000000001</v>
      </c>
      <c r="G317" s="257">
        <f>1220.21619</f>
        <v>1220.2161900000001</v>
      </c>
      <c r="H317" s="257">
        <f t="shared" si="15"/>
        <v>62.783809999999903</v>
      </c>
      <c r="I317" s="257">
        <f>1246.0961</f>
        <v>1246.0961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12.9468</f>
        <v>12.9468</v>
      </c>
      <c r="G318" s="257">
        <f>773.3406</f>
        <v>773.34059999999999</v>
      </c>
      <c r="H318" s="257">
        <f t="shared" si="15"/>
        <v>3420.6594</v>
      </c>
      <c r="I318" s="257">
        <f>2220.73925</f>
        <v>2220.7392500000001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4.168</f>
        <v>4.1680000000000001</v>
      </c>
      <c r="G319" s="268">
        <f>4546.98168</f>
        <v>4546.9816799999999</v>
      </c>
      <c r="H319" s="268">
        <f t="shared" si="15"/>
        <v>953.01832000000013</v>
      </c>
      <c r="I319" s="268">
        <f>2196.71813</f>
        <v>2196.7181300000002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79.647989999999993</v>
      </c>
      <c r="G320" s="269">
        <f>G322+G321</f>
        <v>3257.03694</v>
      </c>
      <c r="H320" s="269">
        <f>E320-G320</f>
        <v>4742.96306</v>
      </c>
      <c r="I320" s="269">
        <f>I322+I321</f>
        <v>2644.0308599999998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1131.93431</f>
        <v>1131.9343100000001</v>
      </c>
      <c r="H321" s="257"/>
      <c r="I321" s="257">
        <f>10.83378</f>
        <v>10.833780000000001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79.64799</f>
        <v>79.647989999999993</v>
      </c>
      <c r="G322" s="278">
        <f>2125.10263</f>
        <v>2125.1026299999999</v>
      </c>
      <c r="H322" s="278"/>
      <c r="I322" s="278">
        <f>2633.19708</f>
        <v>2633.1970799999999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0.39555</f>
        <v>0.39555000000000001</v>
      </c>
      <c r="H323" s="268">
        <f>E323-G323</f>
        <v>9.6044499999999999</v>
      </c>
      <c r="I323" s="268">
        <f>0.18225</f>
        <v>0.18225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0.12984</f>
        <v>0.12984000000000001</v>
      </c>
      <c r="G324" s="268">
        <f>234.40605</f>
        <v>234.40604999999999</v>
      </c>
      <c r="H324" s="268">
        <f>E324-G324</f>
        <v>-234.40604999999999</v>
      </c>
      <c r="I324" s="268">
        <f>30.41164</f>
        <v>30.411639999999998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113.94271000000001</v>
      </c>
      <c r="G325" s="287">
        <f t="shared" si="16"/>
        <v>12335.385789999998</v>
      </c>
      <c r="H325" s="287">
        <f>H314+H319+H320+H323+H324</f>
        <v>13278.614210000002</v>
      </c>
      <c r="I325" s="287">
        <f t="shared" si="16"/>
        <v>16561.869620000001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1798.00587</v>
      </c>
      <c r="G350" s="88">
        <f>D350-F350</f>
        <v>-238.00586999999996</v>
      </c>
      <c r="H350" s="26">
        <f>SUM(H351:H352)</f>
        <v>1302.8203000000001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1400.7149</f>
        <v>1400.7148999999999</v>
      </c>
      <c r="G351" s="100"/>
      <c r="H351" s="30">
        <f>1056.9456</f>
        <v>1056.9456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397.29097</f>
        <v>397.29097000000002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75.266999999999996</v>
      </c>
      <c r="F353" s="36">
        <f>SUM(F354:F355)</f>
        <v>103.1674</v>
      </c>
      <c r="G353" s="88">
        <f>D353-F353</f>
        <v>1456.8326</v>
      </c>
      <c r="H353" s="36">
        <f>SUM(H354:H355)</f>
        <v>125.92230000000001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56.7405</f>
        <v>56.740499999999997</v>
      </c>
      <c r="F354" s="30">
        <f>78.6139</f>
        <v>78.613900000000001</v>
      </c>
      <c r="G354" s="100"/>
      <c r="H354" s="30">
        <f>106.697</f>
        <v>106.697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18.5265</f>
        <v>18.526499999999999</v>
      </c>
      <c r="F355" s="30">
        <f>24.5535</f>
        <v>24.5535</v>
      </c>
      <c r="G355" s="111"/>
      <c r="H355" s="30">
        <f>19.2253</f>
        <v>19.225300000000001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75.266999999999996</v>
      </c>
      <c r="F357" s="42">
        <f>F347+F350+F353+F356</f>
        <v>3288.1545999999998</v>
      </c>
      <c r="G357" s="43">
        <f>SUM(G347:G356)</f>
        <v>1217.8453999999999</v>
      </c>
      <c r="H357" s="42">
        <f>H347+H350+H353+H356</f>
        <v>3238.6642600000005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2022-09-14T08:12:23Z</dcterms:modified>
</cp:coreProperties>
</file>