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A9650AF0-1563-4E3A-AA37-26C064E166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423" i="1"/>
  <c r="H422" i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E414" i="1"/>
  <c r="E413" i="1" s="1"/>
  <c r="E423" i="1" s="1"/>
  <c r="H413" i="1"/>
  <c r="H423" i="1" s="1"/>
  <c r="F413" i="1"/>
  <c r="F423" i="1" s="1"/>
  <c r="I390" i="1"/>
  <c r="H390" i="1"/>
  <c r="G390" i="1"/>
  <c r="F390" i="1"/>
  <c r="I389" i="1"/>
  <c r="H389" i="1"/>
  <c r="G389" i="1"/>
  <c r="F389" i="1"/>
  <c r="I388" i="1"/>
  <c r="G388" i="1"/>
  <c r="G386" i="1" s="1"/>
  <c r="F388" i="1"/>
  <c r="I387" i="1"/>
  <c r="G387" i="1"/>
  <c r="F387" i="1"/>
  <c r="I386" i="1"/>
  <c r="F386" i="1"/>
  <c r="I385" i="1"/>
  <c r="H385" i="1"/>
  <c r="G385" i="1"/>
  <c r="F385" i="1"/>
  <c r="I384" i="1"/>
  <c r="H384" i="1"/>
  <c r="G384" i="1"/>
  <c r="F384" i="1"/>
  <c r="I383" i="1"/>
  <c r="I380" i="1" s="1"/>
  <c r="I391" i="1" s="1"/>
  <c r="H383" i="1"/>
  <c r="G383" i="1"/>
  <c r="F383" i="1"/>
  <c r="I382" i="1"/>
  <c r="H382" i="1"/>
  <c r="G382" i="1"/>
  <c r="F382" i="1"/>
  <c r="F380" i="1" s="1"/>
  <c r="F391" i="1" s="1"/>
  <c r="I381" i="1"/>
  <c r="H381" i="1"/>
  <c r="G381" i="1"/>
  <c r="F381" i="1"/>
  <c r="H380" i="1"/>
  <c r="G380" i="1"/>
  <c r="D380" i="1"/>
  <c r="D391" i="1" s="1"/>
  <c r="H372" i="1"/>
  <c r="F372" i="1"/>
  <c r="H354" i="1"/>
  <c r="F354" i="1"/>
  <c r="D354" i="1"/>
  <c r="G354" i="1" s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G350" i="1"/>
  <c r="F350" i="1"/>
  <c r="E350" i="1"/>
  <c r="E354" i="1" s="1"/>
  <c r="D343" i="1"/>
  <c r="H299" i="1"/>
  <c r="D299" i="1"/>
  <c r="H298" i="1"/>
  <c r="G298" i="1"/>
  <c r="F298" i="1"/>
  <c r="E298" i="1"/>
  <c r="H297" i="1"/>
  <c r="F297" i="1"/>
  <c r="E297" i="1"/>
  <c r="H296" i="1"/>
  <c r="F296" i="1"/>
  <c r="F295" i="1" s="1"/>
  <c r="E296" i="1"/>
  <c r="E295" i="1" s="1"/>
  <c r="E299" i="1" s="1"/>
  <c r="H295" i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53" i="1" s="1"/>
  <c r="H207" i="1"/>
  <c r="F207" i="1"/>
  <c r="D207" i="1"/>
  <c r="G207" i="1" s="1"/>
  <c r="H206" i="1"/>
  <c r="F206" i="1"/>
  <c r="G206" i="1" s="1"/>
  <c r="E206" i="1"/>
  <c r="H205" i="1"/>
  <c r="G205" i="1"/>
  <c r="F205" i="1"/>
  <c r="E205" i="1"/>
  <c r="H204" i="1"/>
  <c r="F204" i="1"/>
  <c r="G204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E178" i="1" s="1"/>
  <c r="H180" i="1"/>
  <c r="F180" i="1"/>
  <c r="E180" i="1"/>
  <c r="H179" i="1"/>
  <c r="H178" i="1" s="1"/>
  <c r="F179" i="1"/>
  <c r="F178" i="1" s="1"/>
  <c r="G178" i="1" s="1"/>
  <c r="E179" i="1"/>
  <c r="H177" i="1"/>
  <c r="F177" i="1"/>
  <c r="G177" i="1" s="1"/>
  <c r="E177" i="1"/>
  <c r="H176" i="1"/>
  <c r="F176" i="1"/>
  <c r="E176" i="1"/>
  <c r="H175" i="1"/>
  <c r="H184" i="1" s="1"/>
  <c r="F175" i="1"/>
  <c r="E175" i="1"/>
  <c r="E184" i="1" s="1"/>
  <c r="D167" i="1"/>
  <c r="D169" i="1" s="1"/>
  <c r="I148" i="1"/>
  <c r="G148" i="1"/>
  <c r="H148" i="1" s="1"/>
  <c r="F148" i="1"/>
  <c r="I147" i="1"/>
  <c r="G147" i="1"/>
  <c r="H147" i="1" s="1"/>
  <c r="F147" i="1"/>
  <c r="H146" i="1"/>
  <c r="I145" i="1"/>
  <c r="H145" i="1"/>
  <c r="G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H140" i="1" s="1"/>
  <c r="H139" i="1" s="1"/>
  <c r="F140" i="1"/>
  <c r="I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I134" i="1"/>
  <c r="I133" i="1" s="1"/>
  <c r="G134" i="1"/>
  <c r="F134" i="1"/>
  <c r="F133" i="1" s="1"/>
  <c r="E134" i="1"/>
  <c r="D134" i="1"/>
  <c r="E133" i="1"/>
  <c r="D133" i="1"/>
  <c r="D150" i="1" s="1"/>
  <c r="I132" i="1"/>
  <c r="F132" i="1"/>
  <c r="I131" i="1"/>
  <c r="G131" i="1"/>
  <c r="H131" i="1" s="1"/>
  <c r="F131" i="1"/>
  <c r="I130" i="1"/>
  <c r="H130" i="1"/>
  <c r="G130" i="1"/>
  <c r="F130" i="1"/>
  <c r="I129" i="1"/>
  <c r="I128" i="1" s="1"/>
  <c r="G129" i="1"/>
  <c r="G128" i="1" s="1"/>
  <c r="F129" i="1"/>
  <c r="F128" i="1" s="1"/>
  <c r="F150" i="1" s="1"/>
  <c r="E128" i="1"/>
  <c r="E150" i="1" s="1"/>
  <c r="D128" i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I107" i="1" s="1"/>
  <c r="G97" i="1"/>
  <c r="H97" i="1" s="1"/>
  <c r="F97" i="1"/>
  <c r="F96" i="1" s="1"/>
  <c r="F95" i="1" s="1"/>
  <c r="G96" i="1"/>
  <c r="G95" i="1" s="1"/>
  <c r="E96" i="1"/>
  <c r="D96" i="1"/>
  <c r="E95" i="1"/>
  <c r="E107" i="1" s="1"/>
  <c r="D95" i="1"/>
  <c r="I94" i="1"/>
  <c r="G94" i="1"/>
  <c r="H94" i="1" s="1"/>
  <c r="H92" i="1" s="1"/>
  <c r="F94" i="1"/>
  <c r="I93" i="1"/>
  <c r="G93" i="1"/>
  <c r="H93" i="1" s="1"/>
  <c r="F93" i="1"/>
  <c r="I92" i="1"/>
  <c r="F92" i="1"/>
  <c r="E92" i="1"/>
  <c r="D92" i="1"/>
  <c r="D107" i="1" s="1"/>
  <c r="C89" i="1"/>
  <c r="H85" i="1"/>
  <c r="F85" i="1"/>
  <c r="D85" i="1"/>
  <c r="H61" i="1"/>
  <c r="H60" i="1"/>
  <c r="I55" i="1"/>
  <c r="I32" i="1" s="1"/>
  <c r="I27" i="1" s="1"/>
  <c r="G55" i="1"/>
  <c r="G32" i="1" s="1"/>
  <c r="H32" i="1" s="1"/>
  <c r="F55" i="1"/>
  <c r="F32" i="1" s="1"/>
  <c r="F27" i="1" s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G36" i="1"/>
  <c r="H36" i="1" s="1"/>
  <c r="F36" i="1"/>
  <c r="I35" i="1"/>
  <c r="G35" i="1"/>
  <c r="F35" i="1"/>
  <c r="E35" i="1"/>
  <c r="D34" i="1"/>
  <c r="I33" i="1"/>
  <c r="H33" i="1"/>
  <c r="G33" i="1"/>
  <c r="F33" i="1"/>
  <c r="I31" i="1"/>
  <c r="G31" i="1"/>
  <c r="H31" i="1" s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E27" i="1"/>
  <c r="D27" i="1"/>
  <c r="E26" i="1"/>
  <c r="D26" i="1"/>
  <c r="I25" i="1"/>
  <c r="G25" i="1"/>
  <c r="H25" i="1" s="1"/>
  <c r="H23" i="1" s="1"/>
  <c r="F25" i="1"/>
  <c r="I24" i="1"/>
  <c r="I23" i="1" s="1"/>
  <c r="H24" i="1"/>
  <c r="G24" i="1"/>
  <c r="F24" i="1"/>
  <c r="F23" i="1" s="1"/>
  <c r="G23" i="1"/>
  <c r="E23" i="1"/>
  <c r="E44" i="1" s="1"/>
  <c r="D23" i="1"/>
  <c r="D44" i="1" s="1"/>
  <c r="H16" i="1"/>
  <c r="F16" i="1"/>
  <c r="D16" i="1"/>
  <c r="H134" i="1" l="1"/>
  <c r="H133" i="1" s="1"/>
  <c r="I34" i="1"/>
  <c r="I26" i="1" s="1"/>
  <c r="I44" i="1" s="1"/>
  <c r="H35" i="1"/>
  <c r="G34" i="1"/>
  <c r="F44" i="1"/>
  <c r="F34" i="1"/>
  <c r="F26" i="1" s="1"/>
  <c r="G249" i="1"/>
  <c r="F253" i="1"/>
  <c r="F184" i="1"/>
  <c r="G391" i="1"/>
  <c r="H386" i="1"/>
  <c r="H34" i="1"/>
  <c r="H26" i="1" s="1"/>
  <c r="H44" i="1" s="1"/>
  <c r="H27" i="1"/>
  <c r="F299" i="1"/>
  <c r="G295" i="1"/>
  <c r="H96" i="1"/>
  <c r="H95" i="1" s="1"/>
  <c r="H107" i="1" s="1"/>
  <c r="G299" i="1"/>
  <c r="G253" i="1"/>
  <c r="F107" i="1"/>
  <c r="I150" i="1"/>
  <c r="H391" i="1"/>
  <c r="G184" i="1"/>
  <c r="G423" i="1"/>
  <c r="G27" i="1"/>
  <c r="G26" i="1" s="1"/>
  <c r="G44" i="1" s="1"/>
  <c r="G139" i="1"/>
  <c r="G133" i="1" s="1"/>
  <c r="G150" i="1" s="1"/>
  <c r="G413" i="1"/>
  <c r="H55" i="1"/>
  <c r="H129" i="1"/>
  <c r="H128" i="1" s="1"/>
  <c r="G92" i="1"/>
  <c r="G107" i="1" s="1"/>
  <c r="G175" i="1"/>
  <c r="H150" i="1" l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<sst xmlns="http://schemas.openxmlformats.org/spreadsheetml/2006/main" count="359" uniqueCount="151">
  <si>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</si>
  <si>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</si>
  <si>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</si>
  <si>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</si>
  <si>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</si>
  <si>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</si>
  <si>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</si>
  <si>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</si>
  <si>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</si>
  <si>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</si>
  <si>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</si>
  <si>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</si>
  <si>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</si>
  <si>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</si>
  <si>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</si>
  <si>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</si>
  <si>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</si>
  <si>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</si>
  <si>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</si>
  <si>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</si>
  <si>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</si>
  <si>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</si>
  <si>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</si>
  <si>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</si>
  <si>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</si>
  <si>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</si>
  <si>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</si>
  <si>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</si>
  <si>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</si>
  <si>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</si>
  <si>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</si>
  <si>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</si>
  <si>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</si>
  <si>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</si>
  <si>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</si>
  <si>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</si>
  <si>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</si>
  <si>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</si>
  <si>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</si>
  <si>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</si>
  <si>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</si>
  <si>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</si>
  <si>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</si>
  <si>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</si>
  <si>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</si>
  <si>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</si>
  <si>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</si>
  <si>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</si>
  <si>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</si>
  <si>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</si>
  <si>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</si>
  <si>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</si>
  <si>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</si>
  <si>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</si>
  <si>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</si>
  <si>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</si>
  <si>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</si>
  <si>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</si>
  <si>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</si>
  <si>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</si>
  <si>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</si>
  <si>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</si>
  <si>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</si>
  <si>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</si>
  <si>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</si>
  <si>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</si>
  <si>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</si>
  <si>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</si>
  <si>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</si>
  <si>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</si>
  <si>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</si>
  <si>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</si>
  <si>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</si>
  <si>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</si>
  <si>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</si>
  <si>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</si>
  <si>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</si>
  <si>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</si>
  <si>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</si>
  <si>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</si>
  <si>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</si>
  <si>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</si>
  <si>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</si>
  <si>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</si>
  <si>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</si>
  <si>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</si>
  <si>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</si>
  <si>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</si>
  <si>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</si>
  <si>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</si>
  <si>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</si>
  <si>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</si>
  <si>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</si>
  <si>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</si>
  <si>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</si>
  <si>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</si>
  <si>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</si>
  <si>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</si>
  <si>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</si>
  <si>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</si>
  <si>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</si>
  <si>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</si>
  <si>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</si>
  <si>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</si>
  <si>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</si>
  <si>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</si>
  <si>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</si>
  <si>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</si>
  <si>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</si>
  <si>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</si>
  <si>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</si>
  <si>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</si>
  <si>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</si>
  <si>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</si>
  <si>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</si>
  <si>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</si>
  <si>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</si>
  <si>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</si>
  <si>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</si>
  <si>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</si>
  <si>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</si>
  <si>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</si>
  <si>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</si>
  <si>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</si>
  <si>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</si>
  <si>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</si>
  <si>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</si>
  <si>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</si>
  <si>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</si>
  <si>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</si>
  <si>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</si>
  <si>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</si>
  <si>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</si>
  <si>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</si>
  <si>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</si>
  <si>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</si>
  <si>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</si>
  <si>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</si>
  <si>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</si>
  <si>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</si>
  <si>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</si>
  <si>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</si>
  <si>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</si>
  <si>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t>2 Registrert rekreasjonsfiske utgjør 61 tonn, men det legges til grunn at hele avsetningen tas</t>
  </si>
  <si>
    <t>4 Registrert rekreasjonsfiske utgjør 506 tonn, men det legges til grunn at hele avsetningen tas</t>
  </si>
  <si>
    <t>3 Registrert rekreasjonsfiske utgjør 881 tonn, men det legges til grunn at hele avsetningen tas</t>
  </si>
  <si>
    <t>FANGST UKE 44</t>
  </si>
  <si>
    <t>FANGST T.O.M UKE 44</t>
  </si>
  <si>
    <t>RESTKVOTER UKE 44</t>
  </si>
  <si>
    <t>FANGST T.O.M UKE 44 2023</t>
  </si>
  <si>
    <r>
      <t>3</t>
    </r>
    <r>
      <rPr>
        <sz val="9"/>
        <color indexed="8"/>
        <rFont val="Calibri"/>
        <family val="2"/>
      </rPr>
      <t xml:space="preserve"> Det er fisket 7 183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</si>
</sst>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409" zoomScale="85" zoomScaleNormal="85" zoomScaleSheetLayoutView="100" zoomScalePageLayoutView="85" workbookViewId="0">
      <selection activeCell="I416" sqref="I416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93" t="s">
        <v>118</v>
      </c>
      <c r="C2" s="294"/>
      <c r="D2" s="294"/>
      <c r="E2" s="294"/>
      <c r="F2" s="294"/>
      <c r="G2" s="294"/>
      <c r="H2" s="294"/>
      <c r="I2" s="294"/>
      <c r="J2" s="295"/>
    </row>
    <row r="3" spans="1:10" ht="14.9" customHeight="1" x14ac:dyDescent="0.3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296"/>
      <c r="C9" s="297"/>
      <c r="D9" s="297"/>
      <c r="E9" s="297"/>
      <c r="F9" s="297"/>
      <c r="G9" s="297"/>
      <c r="H9" s="297"/>
      <c r="I9" s="297"/>
      <c r="J9" s="29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9" t="s">
        <v>1</v>
      </c>
      <c r="D11" s="300"/>
      <c r="E11" s="299" t="s">
        <v>2</v>
      </c>
      <c r="F11" s="300"/>
      <c r="G11" s="299" t="s">
        <v>3</v>
      </c>
      <c r="H11" s="300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292" t="s">
        <v>135</v>
      </c>
      <c r="D17" s="292"/>
      <c r="E17" s="292"/>
      <c r="F17" s="292"/>
      <c r="G17" s="292"/>
      <c r="H17" s="29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47.82</v>
      </c>
      <c r="G23" s="28">
        <f t="shared" si="0"/>
        <v>46018.325649999999</v>
      </c>
      <c r="H23" s="11">
        <f t="shared" si="0"/>
        <v>14793.674349999999</v>
      </c>
      <c r="I23" s="11">
        <f t="shared" si="0"/>
        <v>68181.899090000006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47.82</f>
        <v>47.82</v>
      </c>
      <c r="G24" s="23">
        <f>45471.05386</f>
        <v>45471.05386</v>
      </c>
      <c r="H24" s="23">
        <f>E24-G24</f>
        <v>14570.94614</v>
      </c>
      <c r="I24" s="23">
        <f>67617.64624</f>
        <v>67617.646240000002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0</f>
        <v>0</v>
      </c>
      <c r="G25" s="23">
        <f>547.27179</f>
        <v>547.27179000000001</v>
      </c>
      <c r="H25" s="23">
        <f>E25-G25</f>
        <v>222.72820999999999</v>
      </c>
      <c r="I25" s="23">
        <f>564.25285</f>
        <v>564.25284999999997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626.50216999999998</v>
      </c>
      <c r="G26" s="11">
        <f t="shared" si="1"/>
        <v>127797.63621000001</v>
      </c>
      <c r="H26" s="11">
        <f t="shared" si="1"/>
        <v>17076.363789999996</v>
      </c>
      <c r="I26" s="11">
        <f t="shared" si="1"/>
        <v>191448.62493999998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550.80837999999994</v>
      </c>
      <c r="G27" s="132">
        <f t="shared" ref="G27:I27" si="2">G28+G29+G30+G31+G32</f>
        <v>103673.40856000001</v>
      </c>
      <c r="H27" s="132">
        <f t="shared" si="2"/>
        <v>9304.5914399999965</v>
      </c>
      <c r="I27" s="132">
        <f t="shared" si="2"/>
        <v>148630.35921999998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94.13311</f>
        <v>94.133110000000002</v>
      </c>
      <c r="G28" s="127">
        <f>26956.36923 - G56</f>
        <v>25913.36923</v>
      </c>
      <c r="H28" s="127">
        <f t="shared" ref="H28:H40" si="3">E28-G28</f>
        <v>2716.6307699999998</v>
      </c>
      <c r="I28" s="127">
        <f>37843.28574 - H56</f>
        <v>37843.285739999999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155.0858</f>
        <v>155.08580000000001</v>
      </c>
      <c r="G29" s="127">
        <f>29604.26649 - G57</f>
        <v>28172.266490000002</v>
      </c>
      <c r="H29" s="127">
        <f t="shared" si="3"/>
        <v>1492.7335099999982</v>
      </c>
      <c r="I29" s="127">
        <f>40807.93488 - H57</f>
        <v>40807.934880000001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49.64771</f>
        <v>49.647709999999996</v>
      </c>
      <c r="G30" s="127">
        <f>26995.39934 - G58</f>
        <v>25694.39934</v>
      </c>
      <c r="H30" s="127">
        <f t="shared" si="3"/>
        <v>1549.6006600000001</v>
      </c>
      <c r="I30" s="127">
        <f>37624.66632 - H58</f>
        <v>37624.666319999997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10.94176</f>
        <v>10.94176</v>
      </c>
      <c r="G31" s="127">
        <f>20117.3735 - G59</f>
        <v>19010.373500000002</v>
      </c>
      <c r="H31" s="127">
        <f t="shared" si="3"/>
        <v>328.62649999999849</v>
      </c>
      <c r="I31" s="127">
        <f>25222.47228 - H59</f>
        <v>25222.472280000002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241</v>
      </c>
      <c r="G32" s="127">
        <f>G55</f>
        <v>4883</v>
      </c>
      <c r="H32" s="127">
        <f t="shared" si="3"/>
        <v>3217</v>
      </c>
      <c r="I32" s="127">
        <f>I55</f>
        <v>7132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1.22956</f>
        <v>1.22956</v>
      </c>
      <c r="G33" s="132">
        <f>11817.92225</f>
        <v>11817.92225</v>
      </c>
      <c r="H33" s="132">
        <f t="shared" si="3"/>
        <v>5041.0777500000004</v>
      </c>
      <c r="I33" s="132">
        <f>17455.01477</f>
        <v>17455.014770000002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74.464230000000001</v>
      </c>
      <c r="G34" s="132">
        <f>G35+G36</f>
        <v>12306.305399999999</v>
      </c>
      <c r="H34" s="132">
        <f t="shared" si="3"/>
        <v>2730.6946000000007</v>
      </c>
      <c r="I34" s="132">
        <f>I35+I36</f>
        <v>25363.250950000001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43.46423</f>
        <v>43.464230000000001</v>
      </c>
      <c r="G35" s="132">
        <f>15175.3054 - G60 - G61</f>
        <v>11661.305399999999</v>
      </c>
      <c r="H35" s="127">
        <f t="shared" si="3"/>
        <v>2415.6946000000007</v>
      </c>
      <c r="I35" s="127">
        <f>25042.25095 - H60 - H61</f>
        <v>24596.250950000001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31</v>
      </c>
      <c r="G36" s="71">
        <f>G60</f>
        <v>645</v>
      </c>
      <c r="H36" s="71">
        <f t="shared" si="3"/>
        <v>315</v>
      </c>
      <c r="I36" s="71">
        <f>I60</f>
        <v>767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3.83108</f>
        <v>3.83108</v>
      </c>
      <c r="G38" s="98">
        <f>496.74186</f>
        <v>496.74185999999997</v>
      </c>
      <c r="H38" s="98">
        <f t="shared" si="3"/>
        <v>358.25814000000003</v>
      </c>
      <c r="I38" s="98">
        <f>521.85962</f>
        <v>521.85961999999995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5</v>
      </c>
      <c r="G39" s="98">
        <f>G61</f>
        <v>2869</v>
      </c>
      <c r="H39" s="98">
        <f t="shared" si="3"/>
        <v>131</v>
      </c>
      <c r="I39" s="98">
        <f>I61</f>
        <v>4435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1.10709</f>
        <v>1.1070899999999999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0.1253</f>
        <v>0.12529999999999999</v>
      </c>
      <c r="G41" s="98">
        <f>347.3451</f>
        <v>347.3451</v>
      </c>
      <c r="H41" s="98">
        <f>E41-G41</f>
        <v>52.654899999999998</v>
      </c>
      <c r="I41" s="98">
        <f>357.7691</f>
        <v>357.76909999999998</v>
      </c>
      <c r="J41" s="244"/>
    </row>
    <row r="42" spans="1:13" ht="17.25" customHeight="1" x14ac:dyDescent="0.35">
      <c r="A42" s="1"/>
      <c r="B42" s="254"/>
      <c r="C42" s="73" t="s">
        <v>125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6.62764</f>
        <v>6.6276400000000004</v>
      </c>
      <c r="G43" s="139">
        <f>163.56389</f>
        <v>163.56388999999999</v>
      </c>
      <c r="H43" s="139">
        <f t="shared" ref="H43" si="4">E43-G43</f>
        <v>-163.56388999999999</v>
      </c>
      <c r="I43" s="139">
        <f>151.15677</f>
        <v>151.15676999999999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691.01328000000012</v>
      </c>
      <c r="G44" s="76">
        <f t="shared" si="5"/>
        <v>185040.97791000002</v>
      </c>
      <c r="H44" s="76">
        <f t="shared" si="5"/>
        <v>34000.022089999999</v>
      </c>
      <c r="I44" s="76">
        <f t="shared" si="5"/>
        <v>272843.10111999995</v>
      </c>
      <c r="J44" s="244"/>
    </row>
    <row r="45" spans="1:13" ht="14.15" customHeight="1" x14ac:dyDescent="0.35">
      <c r="A45" s="101"/>
      <c r="B45" s="24"/>
      <c r="C45" s="77" t="s">
        <v>126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127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35">
      <c r="A52" s="101"/>
      <c r="B52" s="24"/>
      <c r="C52" s="303" t="s">
        <v>43</v>
      </c>
      <c r="D52" s="303"/>
      <c r="E52" s="303"/>
      <c r="F52" s="303"/>
      <c r="G52" s="303"/>
      <c r="H52" s="303"/>
      <c r="I52" s="83"/>
      <c r="J52" s="84"/>
    </row>
    <row r="53" spans="1:10" ht="7.5" customHeight="1" x14ac:dyDescent="0.3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139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44"/>
    </row>
    <row r="55" spans="1:10" ht="14.15" customHeight="1" x14ac:dyDescent="0.35">
      <c r="A55" s="101"/>
      <c r="B55" s="24"/>
      <c r="C55" s="16" t="s">
        <v>45</v>
      </c>
      <c r="D55" s="304">
        <v>7872</v>
      </c>
      <c r="E55" s="304">
        <v>8100</v>
      </c>
      <c r="F55" s="11">
        <f>F59+F58+F57+F56</f>
        <v>241</v>
      </c>
      <c r="G55" s="11">
        <f>G59+G58+G57+G56</f>
        <v>4883</v>
      </c>
      <c r="H55" s="304">
        <f>E55-G55</f>
        <v>3217</v>
      </c>
      <c r="I55" s="11">
        <f>I59+I58+I57+I56</f>
        <v>7132</v>
      </c>
      <c r="J55" s="120"/>
    </row>
    <row r="56" spans="1:10" ht="14.15" customHeight="1" x14ac:dyDescent="0.35">
      <c r="A56" s="101"/>
      <c r="B56" s="24"/>
      <c r="C56" s="62" t="s">
        <v>24</v>
      </c>
      <c r="D56" s="305"/>
      <c r="E56" s="305"/>
      <c r="F56" s="127">
        <v>74</v>
      </c>
      <c r="G56" s="127">
        <v>1043</v>
      </c>
      <c r="H56" s="305"/>
      <c r="I56" s="127">
        <v>1111</v>
      </c>
      <c r="J56" s="120"/>
    </row>
    <row r="57" spans="1:10" ht="14.15" customHeight="1" x14ac:dyDescent="0.35">
      <c r="A57" s="101"/>
      <c r="B57" s="24"/>
      <c r="C57" s="62" t="s">
        <v>25</v>
      </c>
      <c r="D57" s="305"/>
      <c r="E57" s="305"/>
      <c r="F57" s="127">
        <v>115</v>
      </c>
      <c r="G57" s="127">
        <v>1432</v>
      </c>
      <c r="H57" s="305"/>
      <c r="I57" s="127">
        <v>2303</v>
      </c>
      <c r="J57" s="244"/>
    </row>
    <row r="58" spans="1:10" ht="14.15" customHeight="1" x14ac:dyDescent="0.35">
      <c r="A58" s="101"/>
      <c r="B58" s="24"/>
      <c r="C58" s="62" t="s">
        <v>26</v>
      </c>
      <c r="D58" s="305"/>
      <c r="E58" s="305"/>
      <c r="F58" s="127">
        <v>30</v>
      </c>
      <c r="G58" s="127">
        <v>1301</v>
      </c>
      <c r="H58" s="305"/>
      <c r="I58" s="127">
        <v>2533</v>
      </c>
      <c r="J58" s="120"/>
    </row>
    <row r="59" spans="1:10" ht="14.15" customHeight="1" x14ac:dyDescent="0.35">
      <c r="A59" s="101"/>
      <c r="B59" s="24"/>
      <c r="C59" s="87" t="s">
        <v>27</v>
      </c>
      <c r="D59" s="306"/>
      <c r="E59" s="306"/>
      <c r="F59" s="192">
        <v>22</v>
      </c>
      <c r="G59" s="192">
        <v>1107</v>
      </c>
      <c r="H59" s="306"/>
      <c r="I59" s="192">
        <v>1185</v>
      </c>
      <c r="J59" s="120"/>
    </row>
    <row r="60" spans="1:10" ht="14.15" customHeight="1" x14ac:dyDescent="0.35">
      <c r="A60" s="101"/>
      <c r="B60" s="24"/>
      <c r="C60" s="88" t="s">
        <v>46</v>
      </c>
      <c r="D60" s="95">
        <v>960</v>
      </c>
      <c r="E60" s="95">
        <v>960</v>
      </c>
      <c r="F60" s="95">
        <v>31</v>
      </c>
      <c r="G60" s="95">
        <v>645</v>
      </c>
      <c r="H60" s="95">
        <f>E60-G60</f>
        <v>315</v>
      </c>
      <c r="I60" s="95">
        <v>767</v>
      </c>
      <c r="J60" s="244"/>
    </row>
    <row r="61" spans="1:10" ht="14.15" customHeight="1" x14ac:dyDescent="0.35">
      <c r="A61" s="101"/>
      <c r="B61" s="24"/>
      <c r="C61" s="142" t="s">
        <v>47</v>
      </c>
      <c r="D61" s="139">
        <v>3000</v>
      </c>
      <c r="E61" s="139">
        <v>3000</v>
      </c>
      <c r="F61" s="139">
        <v>5</v>
      </c>
      <c r="G61" s="139">
        <v>2869</v>
      </c>
      <c r="H61" s="139">
        <f>E61-G61</f>
        <v>131</v>
      </c>
      <c r="I61" s="139">
        <v>4435</v>
      </c>
      <c r="J61" s="120"/>
    </row>
    <row r="62" spans="1:10" ht="14.15" customHeight="1" x14ac:dyDescent="0.35">
      <c r="A62" s="101"/>
      <c r="B62" s="24"/>
      <c r="C62" s="77" t="s">
        <v>128</v>
      </c>
      <c r="D62" s="258"/>
      <c r="E62" s="258"/>
      <c r="F62" s="258"/>
      <c r="G62" s="258"/>
      <c r="H62" s="178"/>
      <c r="I62" s="178"/>
      <c r="J62" s="120"/>
    </row>
    <row r="63" spans="1:10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9" t="s">
        <v>1</v>
      </c>
      <c r="D81" s="300"/>
      <c r="E81" s="299" t="s">
        <v>2</v>
      </c>
      <c r="F81" s="307"/>
      <c r="G81" s="299" t="s">
        <v>3</v>
      </c>
      <c r="H81" s="300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136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6.1698000000000004</v>
      </c>
      <c r="G92" s="11">
        <f t="shared" si="6"/>
        <v>24018.49999</v>
      </c>
      <c r="H92" s="11">
        <f t="shared" si="6"/>
        <v>1942.5000100000002</v>
      </c>
      <c r="I92" s="11">
        <f t="shared" si="6"/>
        <v>41829.956969999999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6.1698</f>
        <v>6.1698000000000004</v>
      </c>
      <c r="G93" s="23">
        <f>23223.06164</f>
        <v>23223.06164</v>
      </c>
      <c r="H93" s="23">
        <f>E93-G93</f>
        <v>1912.9383600000001</v>
      </c>
      <c r="I93" s="23">
        <f>41268.97578</f>
        <v>41268.975780000001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0</f>
        <v>0</v>
      </c>
      <c r="G94" s="50">
        <f>795.43835</f>
        <v>795.43835000000001</v>
      </c>
      <c r="H94" s="50">
        <f>E94-G94</f>
        <v>29.561649999999986</v>
      </c>
      <c r="I94" s="50">
        <f>560.98119</f>
        <v>560.98118999999997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122.82857999999999</v>
      </c>
      <c r="G95" s="11">
        <f t="shared" si="7"/>
        <v>41467.921110000003</v>
      </c>
      <c r="H95" s="11">
        <f t="shared" si="7"/>
        <v>7526.0788899999998</v>
      </c>
      <c r="I95" s="11">
        <f t="shared" si="7"/>
        <v>35159.250420000004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89.523659999999992</v>
      </c>
      <c r="G96" s="132">
        <f t="shared" si="8"/>
        <v>33219.668160000001</v>
      </c>
      <c r="H96" s="132">
        <f t="shared" si="8"/>
        <v>4274.3318399999998</v>
      </c>
      <c r="I96" s="132">
        <f t="shared" si="8"/>
        <v>24000.097260000002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51.60111</f>
        <v>51.601109999999998</v>
      </c>
      <c r="G97" s="127">
        <f>5629.3379</f>
        <v>5629.3379000000004</v>
      </c>
      <c r="H97" s="127">
        <f t="shared" ref="H97:H104" si="9">E97-G97</f>
        <v>4385.6620999999996</v>
      </c>
      <c r="I97" s="127">
        <f>4331.97541</f>
        <v>4331.97541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21.27866</f>
        <v>21.278659999999999</v>
      </c>
      <c r="G98" s="127">
        <f>10607.92506</f>
        <v>10607.92506</v>
      </c>
      <c r="H98" s="127">
        <f t="shared" si="9"/>
        <v>6.0749400000004243</v>
      </c>
      <c r="I98" s="127">
        <f>7501.42653</f>
        <v>7501.4265299999997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9.92929</f>
        <v>9.9292899999999999</v>
      </c>
      <c r="G99" s="127">
        <f>9981.93382</f>
        <v>9981.9338200000002</v>
      </c>
      <c r="H99" s="127">
        <f t="shared" si="9"/>
        <v>130.0661799999998</v>
      </c>
      <c r="I99" s="127">
        <f>6952.01654</f>
        <v>6952.0165399999996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6.7146</f>
        <v>6.7145999999999999</v>
      </c>
      <c r="G100" s="127">
        <f>7000.47138</f>
        <v>7000.47138</v>
      </c>
      <c r="H100" s="127">
        <f t="shared" si="9"/>
        <v>-247.47137999999995</v>
      </c>
      <c r="I100" s="127">
        <f>5214.67878</f>
        <v>5214.6787800000002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0.4218</f>
        <v>0.42180000000000001</v>
      </c>
      <c r="G101" s="132">
        <f>5674.61927</f>
        <v>5674.6192700000001</v>
      </c>
      <c r="H101" s="132">
        <f t="shared" si="9"/>
        <v>1921.3807299999999</v>
      </c>
      <c r="I101" s="132">
        <f>9019.02995</f>
        <v>9019.0299500000001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32.88312</f>
        <v>32.883119999999998</v>
      </c>
      <c r="G102" s="75">
        <f>2573.63368</f>
        <v>2573.6336799999999</v>
      </c>
      <c r="H102" s="75">
        <f t="shared" si="9"/>
        <v>1330.3663200000001</v>
      </c>
      <c r="I102" s="75">
        <f>2140.12321</f>
        <v>2140.1232100000002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0.0126</f>
        <v>1.26E-2</v>
      </c>
      <c r="G103" s="98">
        <f>36.15738</f>
        <v>36.157380000000003</v>
      </c>
      <c r="H103" s="98">
        <f t="shared" si="9"/>
        <v>282.84262000000001</v>
      </c>
      <c r="I103" s="98">
        <f>11.60917</f>
        <v>11.609170000000001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0.09176</f>
        <v>9.1759999999999994E-2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0.04104</f>
        <v>4.104E-2</v>
      </c>
      <c r="G105" s="98">
        <f>49.4666</f>
        <v>49.4666</v>
      </c>
      <c r="H105" s="139">
        <f>E105-G105</f>
        <v>0.53340000000000032</v>
      </c>
      <c r="I105" s="98">
        <f>12.66776</f>
        <v>12.667759999999999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0.38532</f>
        <v>0.38532</v>
      </c>
      <c r="G106" s="139">
        <f>61.3615</f>
        <v>61.361499999999999</v>
      </c>
      <c r="H106" s="139">
        <f t="shared" ref="H106" si="10">E106-G106</f>
        <v>-61.361499999999999</v>
      </c>
      <c r="I106" s="139">
        <f>97.21176</f>
        <v>97.211759999999998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129.5291</v>
      </c>
      <c r="G107" s="76">
        <f t="shared" si="12"/>
        <v>65933.406579999995</v>
      </c>
      <c r="H107" s="76">
        <f t="shared" si="12"/>
        <v>9690.5934199999992</v>
      </c>
      <c r="I107" s="76">
        <f t="shared" si="12"/>
        <v>77410.696079999994</v>
      </c>
      <c r="J107" s="244"/>
    </row>
    <row r="108" spans="1:10" ht="13.5" customHeight="1" x14ac:dyDescent="0.35">
      <c r="A108" s="1"/>
      <c r="B108" s="254"/>
      <c r="C108" s="77" t="s">
        <v>129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130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3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114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697.43235000000004</v>
      </c>
      <c r="G128" s="11">
        <f t="shared" si="13"/>
        <v>54717.719989999998</v>
      </c>
      <c r="H128" s="11">
        <f t="shared" si="13"/>
        <v>17589.280009999999</v>
      </c>
      <c r="I128" s="11">
        <f t="shared" si="13"/>
        <v>63332.372060000002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57562</v>
      </c>
      <c r="F129" s="23">
        <f>697.43235</f>
        <v>697.43235000000004</v>
      </c>
      <c r="G129" s="23">
        <f>48955.34979</f>
        <v>48955.34979</v>
      </c>
      <c r="H129" s="23">
        <f>E129-G129</f>
        <v>8606.6502099999998</v>
      </c>
      <c r="I129" s="23">
        <f>55097.72166</f>
        <v>55097.721660000003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14245</v>
      </c>
      <c r="F130" s="23">
        <f>0</f>
        <v>0</v>
      </c>
      <c r="G130" s="23">
        <f>5689.36805</f>
        <v>5689.36805</v>
      </c>
      <c r="H130" s="23">
        <f>E130-G130</f>
        <v>8555.6319499999991</v>
      </c>
      <c r="I130" s="23">
        <f>8091.93535</f>
        <v>8091.9353499999997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73.00215</f>
        <v>73.00215</v>
      </c>
      <c r="H131" s="55">
        <f>E131-G131</f>
        <v>426.99784999999997</v>
      </c>
      <c r="I131" s="23">
        <f>142.71505</f>
        <v>142.71504999999999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52496</v>
      </c>
      <c r="F132" s="95">
        <f>9.924</f>
        <v>9.9239999999999995</v>
      </c>
      <c r="G132" s="95">
        <f>16583.1928+7183.0032</f>
        <v>23766.196</v>
      </c>
      <c r="H132" s="95">
        <f>E132-G132</f>
        <v>28729.804</v>
      </c>
      <c r="I132" s="95">
        <f>38951.83018</f>
        <v>38951.830179999997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690.53548999999998</v>
      </c>
      <c r="G133" s="94">
        <f t="shared" ref="G133" si="14">G134+G139+G142</f>
        <v>61151.217839999998</v>
      </c>
      <c r="H133" s="94">
        <f>H134+H139+H142</f>
        <v>19013.782159999999</v>
      </c>
      <c r="I133" s="94">
        <f>I134+I139+I142</f>
        <v>71814.008480000004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625.72896000000003</v>
      </c>
      <c r="G134" s="125">
        <f>G135+G136+G138+G137</f>
        <v>45937.226139999999</v>
      </c>
      <c r="H134" s="125">
        <f>H135+H136+H137+H138</f>
        <v>13141.773860000001</v>
      </c>
      <c r="I134" s="125">
        <f>I135+I136+I137+I138</f>
        <v>56531.14271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17774</v>
      </c>
      <c r="F135" s="127">
        <f>144.41141</f>
        <v>144.41140999999999</v>
      </c>
      <c r="G135" s="127">
        <v>10562.30134</v>
      </c>
      <c r="H135" s="127">
        <f>E135-G135</f>
        <v>7211.69866</v>
      </c>
      <c r="I135" s="127">
        <f>9990.72434</f>
        <v>9990.7243400000007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14939</v>
      </c>
      <c r="F136" s="127">
        <f>188.25235</f>
        <v>188.25235000000001</v>
      </c>
      <c r="G136" s="127">
        <v>13052.165885</v>
      </c>
      <c r="H136" s="127">
        <f>E136-G136</f>
        <v>1886.8341149999997</v>
      </c>
      <c r="I136" s="127">
        <f>14987.22982</f>
        <v>14987.22982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13051</v>
      </c>
      <c r="F137" s="127">
        <f>219.9348</f>
        <v>219.9348</v>
      </c>
      <c r="G137" s="127">
        <v>11437.093004999999</v>
      </c>
      <c r="H137" s="127">
        <f>E137-G137</f>
        <v>1613.9069950000012</v>
      </c>
      <c r="I137" s="127">
        <f>17170.05019</f>
        <v>17170.050190000002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13315</v>
      </c>
      <c r="F138" s="127">
        <f>73.1304</f>
        <v>73.130399999999995</v>
      </c>
      <c r="G138" s="127">
        <v>10885.66591</v>
      </c>
      <c r="H138" s="127">
        <f>E138-G138</f>
        <v>2429.3340900000003</v>
      </c>
      <c r="I138" s="127">
        <f>14383.13836</f>
        <v>14383.138360000001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2.1023999999999998</v>
      </c>
      <c r="G139" s="132">
        <f>SUM(G140:G141)</f>
        <v>8923.4230400000015</v>
      </c>
      <c r="H139" s="132">
        <f>H140+H141</f>
        <v>6.5769599999991328</v>
      </c>
      <c r="I139" s="132">
        <f>SUM(I140:I141)</f>
        <v>7530.9218999999994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8430</v>
      </c>
      <c r="F140" s="127">
        <f>0</f>
        <v>0</v>
      </c>
      <c r="G140" s="127">
        <f>8475.37799</f>
        <v>8475.3779900000009</v>
      </c>
      <c r="H140" s="127">
        <f t="shared" ref="H140:H148" si="15">E140-G140</f>
        <v>-45.377990000000864</v>
      </c>
      <c r="I140" s="127">
        <f>7261.32364</f>
        <v>7261.3236399999996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2.1024</f>
        <v>2.1023999999999998</v>
      </c>
      <c r="G141" s="127">
        <f>448.04505</f>
        <v>448.04505</v>
      </c>
      <c r="H141" s="127">
        <f t="shared" si="15"/>
        <v>51.954949999999997</v>
      </c>
      <c r="I141" s="127">
        <f>269.59826</f>
        <v>269.59825999999998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12156</v>
      </c>
      <c r="F142" s="75">
        <f>62.70413</f>
        <v>62.704129999999999</v>
      </c>
      <c r="G142" s="75">
        <f>6290.56866</f>
        <v>6290.5686599999999</v>
      </c>
      <c r="H142" s="75">
        <f t="shared" si="15"/>
        <v>5865.4313400000001</v>
      </c>
      <c r="I142" s="75">
        <f>7751.94387</f>
        <v>7751.9438700000001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0.0405</f>
        <v>4.0500000000000001E-2</v>
      </c>
      <c r="G143" s="139">
        <f>16.16345</f>
        <v>16.163450000000001</v>
      </c>
      <c r="H143" s="139">
        <f t="shared" si="15"/>
        <v>129.83654999999999</v>
      </c>
      <c r="I143" s="139">
        <f>32.63188</f>
        <v>32.631880000000002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1.248</f>
        <v>1.248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2.7204</f>
        <v>2.7204000000000002</v>
      </c>
      <c r="G147" s="98">
        <f>72.10281</f>
        <v>72.102810000000005</v>
      </c>
      <c r="H147" s="139">
        <f t="shared" si="15"/>
        <v>203.89718999999999</v>
      </c>
      <c r="I147" s="98">
        <f>28.48546</f>
        <v>28.48546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13.1654</f>
        <v>13.1654</v>
      </c>
      <c r="G148" s="139">
        <f>235.94044</f>
        <v>235.94044</v>
      </c>
      <c r="H148" s="139">
        <f t="shared" si="15"/>
        <v>-235.94044</v>
      </c>
      <c r="I148" s="139">
        <f>307.73163</f>
        <v>307.73163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1415.0661400000001</v>
      </c>
      <c r="G150" s="76">
        <f>G128+G132+G133+G143+G144+G145+G146+G147+G148</f>
        <v>142215.37653000001</v>
      </c>
      <c r="H150" s="76">
        <f>H128+H132+H133+H143+H144+H145+H146+H147+H148</f>
        <v>65424.623469999999</v>
      </c>
      <c r="I150" s="76">
        <f>I128+I132+I133+I143+I144+I145+I146+I147+I148</f>
        <v>176729.64069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131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132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8.27528</f>
        <v>8.2752800000000004</v>
      </c>
      <c r="F175" s="276">
        <f>1258.01672</f>
        <v>1258.0167200000001</v>
      </c>
      <c r="G175" s="43">
        <f>D175-F175-F176</f>
        <v>1399.4889799999999</v>
      </c>
      <c r="H175" s="276">
        <f>1866.62712</f>
        <v>1866.6271200000001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0</f>
        <v>0</v>
      </c>
      <c r="F176" s="152">
        <f>1565.4943</f>
        <v>1565.4943000000001</v>
      </c>
      <c r="G176" s="217"/>
      <c r="H176" s="152">
        <f>1911.74733</f>
        <v>1911.7473299999999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0.00792</f>
        <v>7.92E-3</v>
      </c>
      <c r="F177" s="172">
        <f>125.67627</f>
        <v>125.67627</v>
      </c>
      <c r="G177" s="172">
        <f>D177-F177</f>
        <v>74.323729999999998</v>
      </c>
      <c r="H177" s="172">
        <f>74.78746</f>
        <v>74.787459999999996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2.5661899999999997</v>
      </c>
      <c r="F178" s="181">
        <f>F179+F180+F181</f>
        <v>5979.3179</v>
      </c>
      <c r="G178" s="181">
        <f>D178-F178</f>
        <v>354.68209999999999</v>
      </c>
      <c r="H178" s="181">
        <f>H179+H180+H181</f>
        <v>8143.9280599999993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0.0832</f>
        <v>8.3199999999999996E-2</v>
      </c>
      <c r="F179" s="127">
        <f>3091.81146</f>
        <v>3091.8114599999999</v>
      </c>
      <c r="G179" s="127"/>
      <c r="H179" s="127">
        <f>4184.69839</f>
        <v>4184.6983899999996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1.12252</f>
        <v>1.12252</v>
      </c>
      <c r="F180" s="127">
        <f>1827.6006</f>
        <v>1827.6006</v>
      </c>
      <c r="G180" s="127"/>
      <c r="H180" s="127">
        <f>2512.63934</f>
        <v>2512.6393400000002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1.36047</f>
        <v>1.3604700000000001</v>
      </c>
      <c r="F181" s="192">
        <f>1059.90584</f>
        <v>1059.9058399999999</v>
      </c>
      <c r="G181" s="192"/>
      <c r="H181" s="192">
        <f>1446.59033</f>
        <v>1446.59033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10.84939</v>
      </c>
      <c r="F184" s="194">
        <f>F175+F176+F177+F178+F182+F183</f>
        <v>8928.5051899999999</v>
      </c>
      <c r="G184" s="194">
        <f>D184-F184</f>
        <v>1894.4948100000001</v>
      </c>
      <c r="H184" s="194">
        <f>H175+H176+H177+H178+H182+H183</f>
        <v>11997.089969999999</v>
      </c>
      <c r="I184" s="163"/>
      <c r="J184" s="160"/>
    </row>
    <row r="185" spans="1:10" ht="42" customHeight="1" x14ac:dyDescent="0.35">
      <c r="A185" s="1"/>
      <c r="B185" s="198"/>
      <c r="C185" s="227" t="s">
        <v>137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119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120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123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24.42496</f>
        <v>24.424959999999999</v>
      </c>
      <c r="F204" s="124">
        <f>42337.59474</f>
        <v>42337.59474</v>
      </c>
      <c r="G204" s="124">
        <f>D204-F204</f>
        <v>3944.4052599999995</v>
      </c>
      <c r="H204" s="124">
        <f>41633.93074</f>
        <v>41633.930740000003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0.147</f>
        <v>0.14699999999999999</v>
      </c>
      <c r="F205" s="124">
        <f>41.30456</f>
        <v>41.304560000000002</v>
      </c>
      <c r="G205" s="124">
        <f>D205-F205</f>
        <v>58.695439999999998</v>
      </c>
      <c r="H205" s="124">
        <f>66.51693</f>
        <v>66.516930000000002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24.571959999999997</v>
      </c>
      <c r="F207" s="190">
        <f>SUM(F204:F206)</f>
        <v>42378.899299999997</v>
      </c>
      <c r="G207" s="190">
        <f>D207-F207</f>
        <v>4039.1007000000027</v>
      </c>
      <c r="H207" s="190">
        <f>SUM(H204:H206)</f>
        <v>41700.447670000001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115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121</v>
      </c>
      <c r="D249" s="124">
        <v>3987</v>
      </c>
      <c r="E249" s="75">
        <f>E250+E251</f>
        <v>7.4967600000000001</v>
      </c>
      <c r="F249" s="75">
        <f>F250+F251</f>
        <v>4263.067</v>
      </c>
      <c r="G249" s="75">
        <f>D249-F249</f>
        <v>-276.06700000000001</v>
      </c>
      <c r="H249" s="75">
        <f>H250+H251</f>
        <v>4217.8241200000002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2.0928</f>
        <v>2.0928</v>
      </c>
      <c r="F250" s="75">
        <f>3639.64141</f>
        <v>3639.6414100000002</v>
      </c>
      <c r="G250" s="75"/>
      <c r="H250" s="75">
        <f>3574.04129</f>
        <v>3574.0412900000001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5.40396</f>
        <v>5.4039599999999997</v>
      </c>
      <c r="F251" s="124">
        <f>623.42559</f>
        <v>623.42559000000006</v>
      </c>
      <c r="G251" s="168"/>
      <c r="H251" s="124">
        <f>643.78283</f>
        <v>643.78282999999999</v>
      </c>
      <c r="I251" s="248"/>
      <c r="J251" s="120"/>
    </row>
    <row r="252" spans="1:10" ht="15" customHeight="1" x14ac:dyDescent="0.35">
      <c r="A252" s="1"/>
      <c r="B252" s="254"/>
      <c r="C252" s="90" t="s">
        <v>122</v>
      </c>
      <c r="D252" s="124">
        <v>4613</v>
      </c>
      <c r="E252" s="75">
        <f>23.22772</f>
        <v>23.227720000000001</v>
      </c>
      <c r="F252" s="75">
        <f>5394.39156</f>
        <v>5394.39156</v>
      </c>
      <c r="G252" s="75">
        <f>D252-F252</f>
        <v>-781.39156000000003</v>
      </c>
      <c r="H252" s="75">
        <f>5376.62472</f>
        <v>5376.6247199999998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30.72448</v>
      </c>
      <c r="F253" s="190">
        <f>SUM(F249,F252)</f>
        <v>9657.4585599999991</v>
      </c>
      <c r="G253" s="190">
        <f>D253-F253</f>
        <v>-1057.4585599999991</v>
      </c>
      <c r="H253" s="190">
        <f>SUM(H249,H252)</f>
        <v>9594.4488400000009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116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121</v>
      </c>
      <c r="D295" s="124">
        <v>5090</v>
      </c>
      <c r="E295" s="75">
        <f>E296+E297</f>
        <v>10.371400000000001</v>
      </c>
      <c r="F295" s="75">
        <f>F296+F297</f>
        <v>5365.1558299999997</v>
      </c>
      <c r="G295" s="75">
        <f>D295-F295</f>
        <v>-275.1558299999997</v>
      </c>
      <c r="H295" s="75">
        <f>H296+H297</f>
        <v>6029.8892599999999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0.2436</f>
        <v>0.24360000000000001</v>
      </c>
      <c r="F296" s="75">
        <f>4833.7769</f>
        <v>4833.7768999999998</v>
      </c>
      <c r="G296" s="75"/>
      <c r="H296" s="75">
        <f>5517.85228</f>
        <v>5517.8522800000001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10.1278</f>
        <v>10.127800000000001</v>
      </c>
      <c r="F297" s="124">
        <f>531.37893</f>
        <v>531.37892999999997</v>
      </c>
      <c r="G297" s="168"/>
      <c r="H297" s="124">
        <f>512.03698</f>
        <v>512.03697999999997</v>
      </c>
      <c r="I297" s="248"/>
      <c r="J297" s="120"/>
    </row>
    <row r="298" spans="1:10" ht="15" customHeight="1" x14ac:dyDescent="0.35">
      <c r="A298" s="1"/>
      <c r="B298" s="254"/>
      <c r="C298" s="90" t="s">
        <v>122</v>
      </c>
      <c r="D298" s="124">
        <v>2981</v>
      </c>
      <c r="E298" s="75">
        <f>57.2997</f>
        <v>57.299700000000001</v>
      </c>
      <c r="F298" s="75">
        <f>2981.02785</f>
        <v>2981.0278499999999</v>
      </c>
      <c r="G298" s="75">
        <f>D298-F298</f>
        <v>-2.7849999999943975E-2</v>
      </c>
      <c r="H298" s="75">
        <f>3697.58678</f>
        <v>3697.5867800000001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67.671099999999996</v>
      </c>
      <c r="F299" s="190">
        <f>SUM(F295,F298)</f>
        <v>8346.1836800000001</v>
      </c>
      <c r="G299" s="190">
        <f>D299-F299</f>
        <v>-275.18368000000009</v>
      </c>
      <c r="H299" s="190">
        <f>SUM(H295,H298)</f>
        <v>9727.4760399999996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124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18.00444</f>
        <v>18.004439999999999</v>
      </c>
      <c r="F350" s="124">
        <f>634.15986</f>
        <v>634.15985999999998</v>
      </c>
      <c r="G350" s="124">
        <f>D350-F350</f>
        <v>165.84014000000002</v>
      </c>
      <c r="H350" s="124">
        <f>556.93165</f>
        <v>556.93164999999999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20.87443</f>
        <v>20.87443</v>
      </c>
      <c r="F351" s="124">
        <f>2329.01768</f>
        <v>2329.0176799999999</v>
      </c>
      <c r="G351" s="124">
        <f>D351-F351</f>
        <v>711.98232000000007</v>
      </c>
      <c r="H351" s="124">
        <f>2743.77844</f>
        <v>2743.77844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3.60962</f>
        <v>3.6096200000000001</v>
      </c>
      <c r="G352" s="124">
        <f>D352-F352</f>
        <v>6.3903800000000004</v>
      </c>
      <c r="H352" s="168">
        <f>2.73874</f>
        <v>2.73874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1.06158</f>
        <v>1.06158</v>
      </c>
      <c r="F353" s="168">
        <f>1.30958</f>
        <v>1.30958</v>
      </c>
      <c r="G353" s="124">
        <f>D353-F353</f>
        <v>-1.30958</v>
      </c>
      <c r="H353" s="168">
        <f>1.78973</f>
        <v>1.78973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39.940449999999998</v>
      </c>
      <c r="F354" s="190">
        <f>SUM(F350:F353)</f>
        <v>2968.09674</v>
      </c>
      <c r="G354" s="190">
        <f>D354-F354</f>
        <v>882.90326000000005</v>
      </c>
      <c r="H354" s="190">
        <f>H350+H351+H352+H353</f>
        <v>3305.2385599999998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113</v>
      </c>
    </row>
    <row r="358" spans="1:10" ht="14.15" customHeight="1" x14ac:dyDescent="0.35">
      <c r="A358" s="1" t="s">
        <v>113</v>
      </c>
    </row>
    <row r="359" spans="1:10" ht="14.15" customHeight="1" x14ac:dyDescent="0.35">
      <c r="A359" s="1" t="s">
        <v>113</v>
      </c>
    </row>
    <row r="360" spans="1:10" ht="14.15" customHeight="1" x14ac:dyDescent="0.35">
      <c r="A360" s="1"/>
      <c r="C360" s="150" t="s">
        <v>113</v>
      </c>
    </row>
    <row r="361" spans="1:10" x14ac:dyDescent="0.35">
      <c r="A361" s="1"/>
      <c r="C361" s="150" t="s">
        <v>113</v>
      </c>
    </row>
    <row r="362" spans="1:10" ht="14.15" customHeight="1" x14ac:dyDescent="0.35">
      <c r="A362" s="1"/>
      <c r="C362" s="150" t="s">
        <v>113</v>
      </c>
    </row>
    <row r="363" spans="1:10" ht="14.15" customHeight="1" x14ac:dyDescent="0.35">
      <c r="A363" s="1"/>
      <c r="C363" s="150" t="s">
        <v>113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133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134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140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280.89974000000001</v>
      </c>
      <c r="G380" s="253">
        <f t="shared" si="17"/>
        <v>19418.594279999998</v>
      </c>
      <c r="H380" s="253">
        <f>H384+H383+H382+H381</f>
        <v>3550.4057200000002</v>
      </c>
      <c r="I380" s="253">
        <f t="shared" si="17"/>
        <v>16638.377699999997</v>
      </c>
      <c r="J380" s="130"/>
    </row>
    <row r="381" spans="1:10" ht="14.15" customHeight="1" x14ac:dyDescent="0.35">
      <c r="A381" s="218"/>
      <c r="B381" s="72"/>
      <c r="C381" s="255" t="s">
        <v>103</v>
      </c>
      <c r="D381" s="256">
        <v>12051</v>
      </c>
      <c r="E381" s="256">
        <v>13190</v>
      </c>
      <c r="F381" s="257">
        <f>213.7747</f>
        <v>213.7747</v>
      </c>
      <c r="G381" s="257">
        <f>12906.16389</f>
        <v>12906.16389</v>
      </c>
      <c r="H381" s="257">
        <f t="shared" ref="H381:H385" si="18">E381-G381</f>
        <v>283.83611000000019</v>
      </c>
      <c r="I381" s="257">
        <f>9979.32829</f>
        <v>9979.3282899999995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1998.07392</f>
        <v>1998.07392</v>
      </c>
      <c r="H382" s="257">
        <f t="shared" si="18"/>
        <v>1434.92608</v>
      </c>
      <c r="I382" s="257">
        <f>1599.53535</f>
        <v>1599.5353500000001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35.95464</f>
        <v>35.954639999999998</v>
      </c>
      <c r="G383" s="257">
        <f>2022.31161</f>
        <v>2022.31161</v>
      </c>
      <c r="H383" s="257">
        <f t="shared" si="18"/>
        <v>-539.31160999999997</v>
      </c>
      <c r="I383" s="257">
        <f>1926.61296</f>
        <v>1926.6129599999999</v>
      </c>
      <c r="J383" s="130"/>
    </row>
    <row r="384" spans="1:10" ht="14.15" customHeight="1" x14ac:dyDescent="0.35">
      <c r="A384" s="218"/>
      <c r="B384" s="72"/>
      <c r="C384" s="262" t="s">
        <v>141</v>
      </c>
      <c r="D384" s="263">
        <v>4867</v>
      </c>
      <c r="E384" s="263">
        <v>4863</v>
      </c>
      <c r="F384" s="257">
        <f>31.1704</f>
        <v>31.170400000000001</v>
      </c>
      <c r="G384" s="257">
        <f>2492.04486</f>
        <v>2492.04486</v>
      </c>
      <c r="H384" s="257">
        <f t="shared" si="18"/>
        <v>2370.95514</v>
      </c>
      <c r="I384" s="257">
        <f>3132.9011</f>
        <v>3132.9011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0.847</f>
        <v>0.84699999999999998</v>
      </c>
      <c r="G385" s="268">
        <f>2162.93678</f>
        <v>2162.93678</v>
      </c>
      <c r="H385" s="268">
        <f t="shared" si="18"/>
        <v>3337.06322</v>
      </c>
      <c r="I385" s="268">
        <f>5112.13128</f>
        <v>5112.1312799999996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24.251339999999999</v>
      </c>
      <c r="G386" s="269">
        <f>G388+G387</f>
        <v>3913.2877199999998</v>
      </c>
      <c r="H386" s="269">
        <f>E386-G386</f>
        <v>4086.7122800000002</v>
      </c>
      <c r="I386" s="269">
        <f>I388+I387</f>
        <v>4442.9816599999995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0</f>
        <v>0</v>
      </c>
      <c r="G387" s="257">
        <f>1038.92724</f>
        <v>1038.92724</v>
      </c>
      <c r="H387" s="257"/>
      <c r="I387" s="257">
        <f>862.46423</f>
        <v>862.46423000000004</v>
      </c>
      <c r="J387" s="130"/>
    </row>
    <row r="388" spans="1:10" ht="14.15" customHeight="1" x14ac:dyDescent="0.35">
      <c r="A388" s="218"/>
      <c r="B388" s="72"/>
      <c r="C388" s="273" t="s">
        <v>104</v>
      </c>
      <c r="D388" s="274"/>
      <c r="E388" s="277"/>
      <c r="F388" s="278">
        <f>24.25134</f>
        <v>24.251339999999999</v>
      </c>
      <c r="G388" s="278">
        <f>2874.36048</f>
        <v>2874.3604799999998</v>
      </c>
      <c r="H388" s="278"/>
      <c r="I388" s="278">
        <f>3580.51743</f>
        <v>3580.5174299999999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0.1484</f>
        <v>0.1484</v>
      </c>
      <c r="H389" s="268">
        <f>E389-G389</f>
        <v>12.851599999999999</v>
      </c>
      <c r="I389" s="268">
        <f>0.7485</f>
        <v>0.74850000000000005</v>
      </c>
      <c r="J389" s="130"/>
    </row>
    <row r="390" spans="1:10" ht="14.15" customHeight="1" x14ac:dyDescent="0.35">
      <c r="A390" s="218"/>
      <c r="B390" s="72"/>
      <c r="C390" s="279" t="s">
        <v>105</v>
      </c>
      <c r="D390" s="282"/>
      <c r="E390" s="283"/>
      <c r="F390" s="268">
        <f>5.95296</f>
        <v>5.95296</v>
      </c>
      <c r="G390" s="268">
        <f>112.82616</f>
        <v>112.82616</v>
      </c>
      <c r="H390" s="268">
        <f>E390-G390</f>
        <v>-112.82616</v>
      </c>
      <c r="I390" s="268">
        <f>118.10585</f>
        <v>118.10585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311.95103999999998</v>
      </c>
      <c r="G391" s="287">
        <f t="shared" si="19"/>
        <v>25607.793339999997</v>
      </c>
      <c r="H391" s="287">
        <f>H380+H385+H386+H389+H390</f>
        <v>10874.20666</v>
      </c>
      <c r="I391" s="287">
        <f t="shared" si="19"/>
        <v>26312.344989999998</v>
      </c>
      <c r="J391" s="130"/>
    </row>
    <row r="392" spans="1:10" ht="14.15" customHeight="1" x14ac:dyDescent="0.3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142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/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113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8" t="s">
        <v>138</v>
      </c>
      <c r="D407" s="308"/>
      <c r="E407" s="308"/>
      <c r="F407" s="308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108</v>
      </c>
      <c r="D412" s="22" t="s">
        <v>109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110</v>
      </c>
      <c r="D413" s="204">
        <v>894</v>
      </c>
      <c r="E413" s="26">
        <f>SUM(E414:E415)</f>
        <v>55.257599999999996</v>
      </c>
      <c r="F413" s="26">
        <f>SUM(F414:F415)</f>
        <v>1016.36518</v>
      </c>
      <c r="G413" s="85">
        <f>D413-F413</f>
        <v>-122.36518000000001</v>
      </c>
      <c r="H413" s="26">
        <f>SUM(H414:H415)</f>
        <v>988.40122999999994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46.2575</f>
        <v>46.2575</v>
      </c>
      <c r="F414" s="205">
        <f>774.68208</f>
        <v>774.68208000000004</v>
      </c>
      <c r="G414" s="206"/>
      <c r="H414" s="205">
        <f>753.71223</f>
        <v>753.71222999999998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9.0001</f>
        <v>9.0000999999999998</v>
      </c>
      <c r="F415" s="208">
        <f>241.6831</f>
        <v>241.6831</v>
      </c>
      <c r="G415" s="209"/>
      <c r="H415" s="208">
        <f>234.689</f>
        <v>234.68899999999999</v>
      </c>
      <c r="I415" s="150"/>
      <c r="J415" s="130"/>
    </row>
    <row r="416" spans="1:10" ht="14.15" customHeight="1" x14ac:dyDescent="0.35">
      <c r="A416" s="218"/>
      <c r="B416" s="72"/>
      <c r="C416" s="265" t="s">
        <v>111</v>
      </c>
      <c r="D416" s="10">
        <v>894</v>
      </c>
      <c r="E416" s="26">
        <f>SUM(E417:E418)</f>
        <v>0.82699999999999996</v>
      </c>
      <c r="F416" s="26">
        <f>SUM(F417:F418)</f>
        <v>0.82699999999999996</v>
      </c>
      <c r="G416" s="85">
        <f>D416-F416</f>
        <v>893.173</v>
      </c>
      <c r="H416" s="26">
        <f>SUM(H417:H418)</f>
        <v>26.815999999999999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0.591</f>
        <v>0.59099999999999997</v>
      </c>
      <c r="F417" s="30">
        <f>0.591</f>
        <v>0.59099999999999997</v>
      </c>
      <c r="G417" s="97"/>
      <c r="H417" s="30">
        <f>19.633</f>
        <v>19.632999999999999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0.236</f>
        <v>0.23599999999999999</v>
      </c>
      <c r="F418" s="30">
        <f>0.236</f>
        <v>0.23599999999999999</v>
      </c>
      <c r="G418" s="108"/>
      <c r="H418" s="30">
        <f>7.183</f>
        <v>7.1829999999999998</v>
      </c>
      <c r="I418" s="150"/>
      <c r="J418" s="130"/>
    </row>
    <row r="419" spans="1:10" ht="14.15" customHeight="1" x14ac:dyDescent="0.3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56.084599999999995</v>
      </c>
      <c r="F423" s="40">
        <f>F413+F416+F419+F422</f>
        <v>1017.19218</v>
      </c>
      <c r="G423" s="41">
        <f>D423-F423</f>
        <v>1663.80782</v>
      </c>
      <c r="H423" s="40">
        <f>H413+H416+H419+H422</f>
        <v>1015.21723</v>
      </c>
      <c r="I423" s="27"/>
      <c r="J423" s="130"/>
    </row>
    <row r="424" spans="1:10" ht="42" customHeight="1" x14ac:dyDescent="0.35">
      <c r="A424" s="218"/>
      <c r="B424" s="72"/>
      <c r="C424" s="301" t="s">
        <v>117</v>
      </c>
      <c r="D424" s="301"/>
      <c r="E424" s="301"/>
      <c r="F424" s="301"/>
      <c r="G424" s="301"/>
      <c r="H424" s="301"/>
      <c r="I424" s="301"/>
      <c r="J424" s="302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5"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44&amp;R04.11.2024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2024-11-04T09:15:02Z</dcterms:modified>
</cp:coreProperties>
</file>