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oyher\Downloads\"/>
    </mc:Choice>
  </mc:AlternateContent>
  <xr:revisionPtr revIDLastSave="0" documentId="13_ncr:1_{5231BCC9-A63D-49C7-99AB-5C9CB097C4F5}" xr6:coauthVersionLast="47" xr6:coauthVersionMax="47" xr10:uidLastSave="{00000000-0000-0000-0000-000000000000}"/>
  <bookViews>
    <workbookView xWindow="14220" yWindow="-20715" windowWidth="22860" windowHeight="200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H419" i="1" s="1"/>
  <c r="F421" i="1"/>
  <c r="E421" i="1"/>
  <c r="H420" i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E416" i="1" s="1"/>
  <c r="H416" i="1"/>
  <c r="H415" i="1"/>
  <c r="F415" i="1"/>
  <c r="E415" i="1"/>
  <c r="H414" i="1"/>
  <c r="H413" i="1" s="1"/>
  <c r="H423" i="1" s="1"/>
  <c r="F414" i="1"/>
  <c r="F413" i="1" s="1"/>
  <c r="E414" i="1"/>
  <c r="E413" i="1" s="1"/>
  <c r="E423" i="1" s="1"/>
  <c r="D391" i="1"/>
  <c r="I390" i="1"/>
  <c r="H390" i="1"/>
  <c r="G390" i="1"/>
  <c r="F390" i="1"/>
  <c r="I389" i="1"/>
  <c r="H389" i="1"/>
  <c r="G389" i="1"/>
  <c r="F389" i="1"/>
  <c r="I388" i="1"/>
  <c r="G388" i="1"/>
  <c r="G386" i="1" s="1"/>
  <c r="H386" i="1" s="1"/>
  <c r="F388" i="1"/>
  <c r="I387" i="1"/>
  <c r="I386" i="1" s="1"/>
  <c r="I391" i="1" s="1"/>
  <c r="G387" i="1"/>
  <c r="F387" i="1"/>
  <c r="F386" i="1" s="1"/>
  <c r="I385" i="1"/>
  <c r="G385" i="1"/>
  <c r="H385" i="1" s="1"/>
  <c r="F385" i="1"/>
  <c r="I384" i="1"/>
  <c r="H384" i="1"/>
  <c r="G384" i="1"/>
  <c r="F384" i="1"/>
  <c r="I383" i="1"/>
  <c r="G383" i="1"/>
  <c r="G380" i="1" s="1"/>
  <c r="G391" i="1" s="1"/>
  <c r="F383" i="1"/>
  <c r="F380" i="1" s="1"/>
  <c r="I382" i="1"/>
  <c r="H382" i="1"/>
  <c r="G382" i="1"/>
  <c r="F382" i="1"/>
  <c r="I381" i="1"/>
  <c r="G381" i="1"/>
  <c r="H381" i="1" s="1"/>
  <c r="F381" i="1"/>
  <c r="I380" i="1"/>
  <c r="D380" i="1"/>
  <c r="H372" i="1"/>
  <c r="F372" i="1"/>
  <c r="H354" i="1"/>
  <c r="D354" i="1"/>
  <c r="G354" i="1" s="1"/>
  <c r="H353" i="1"/>
  <c r="F353" i="1"/>
  <c r="G353" i="1" s="1"/>
  <c r="E353" i="1"/>
  <c r="H352" i="1"/>
  <c r="G352" i="1"/>
  <c r="F352" i="1"/>
  <c r="E352" i="1"/>
  <c r="H351" i="1"/>
  <c r="F351" i="1"/>
  <c r="F354" i="1" s="1"/>
  <c r="E351" i="1"/>
  <c r="H350" i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F295" i="1" s="1"/>
  <c r="E297" i="1"/>
  <c r="H296" i="1"/>
  <c r="H295" i="1" s="1"/>
  <c r="H299" i="1" s="1"/>
  <c r="F296" i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E249" i="1" s="1"/>
  <c r="E253" i="1" s="1"/>
  <c r="H249" i="1"/>
  <c r="H253" i="1" s="1"/>
  <c r="H207" i="1"/>
  <c r="D207" i="1"/>
  <c r="G207" i="1" s="1"/>
  <c r="H206" i="1"/>
  <c r="G206" i="1"/>
  <c r="F206" i="1"/>
  <c r="E206" i="1"/>
  <c r="H205" i="1"/>
  <c r="F205" i="1"/>
  <c r="F207" i="1" s="1"/>
  <c r="E205" i="1"/>
  <c r="E207" i="1" s="1"/>
  <c r="H204" i="1"/>
  <c r="G204" i="1"/>
  <c r="F204" i="1"/>
  <c r="E20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E178" i="1" s="1"/>
  <c r="E184" i="1" s="1"/>
  <c r="H179" i="1"/>
  <c r="H178" i="1" s="1"/>
  <c r="F179" i="1"/>
  <c r="F178" i="1" s="1"/>
  <c r="G178" i="1" s="1"/>
  <c r="E179" i="1"/>
  <c r="H177" i="1"/>
  <c r="G177" i="1"/>
  <c r="F177" i="1"/>
  <c r="E177" i="1"/>
  <c r="H176" i="1"/>
  <c r="F176" i="1"/>
  <c r="E176" i="1"/>
  <c r="H175" i="1"/>
  <c r="F175" i="1"/>
  <c r="E175" i="1"/>
  <c r="D169" i="1"/>
  <c r="D167" i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I133" i="1" s="1"/>
  <c r="H140" i="1"/>
  <c r="H139" i="1" s="1"/>
  <c r="G140" i="1"/>
  <c r="G139" i="1" s="1"/>
  <c r="F140" i="1"/>
  <c r="F139" i="1"/>
  <c r="E139" i="1"/>
  <c r="E133" i="1" s="1"/>
  <c r="E150" i="1" s="1"/>
  <c r="D139" i="1"/>
  <c r="I138" i="1"/>
  <c r="H138" i="1"/>
  <c r="F138" i="1"/>
  <c r="I137" i="1"/>
  <c r="H137" i="1"/>
  <c r="F137" i="1"/>
  <c r="I136" i="1"/>
  <c r="H136" i="1"/>
  <c r="F136" i="1"/>
  <c r="I135" i="1"/>
  <c r="G134" i="1"/>
  <c r="G133" i="1" s="1"/>
  <c r="F135" i="1"/>
  <c r="F134" i="1" s="1"/>
  <c r="F133" i="1" s="1"/>
  <c r="I134" i="1"/>
  <c r="E134" i="1"/>
  <c r="D134" i="1"/>
  <c r="D133" i="1" s="1"/>
  <c r="I132" i="1"/>
  <c r="H132" i="1"/>
  <c r="F132" i="1"/>
  <c r="I131" i="1"/>
  <c r="H131" i="1"/>
  <c r="G131" i="1"/>
  <c r="F131" i="1"/>
  <c r="I130" i="1"/>
  <c r="G130" i="1"/>
  <c r="H130" i="1" s="1"/>
  <c r="H128" i="1" s="1"/>
  <c r="F130" i="1"/>
  <c r="F128" i="1" s="1"/>
  <c r="I129" i="1"/>
  <c r="I128" i="1" s="1"/>
  <c r="H129" i="1"/>
  <c r="G129" i="1"/>
  <c r="F129" i="1"/>
  <c r="E128" i="1"/>
  <c r="D128" i="1"/>
  <c r="D150" i="1" s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G96" i="1" s="1"/>
  <c r="G95" i="1" s="1"/>
  <c r="F97" i="1"/>
  <c r="F96" i="1" s="1"/>
  <c r="F95" i="1" s="1"/>
  <c r="F107" i="1" s="1"/>
  <c r="E96" i="1"/>
  <c r="E95" i="1" s="1"/>
  <c r="E107" i="1" s="1"/>
  <c r="D96" i="1"/>
  <c r="D95" i="1" s="1"/>
  <c r="I94" i="1"/>
  <c r="G94" i="1"/>
  <c r="H94" i="1" s="1"/>
  <c r="F94" i="1"/>
  <c r="I93" i="1"/>
  <c r="G93" i="1"/>
  <c r="H93" i="1" s="1"/>
  <c r="F93" i="1"/>
  <c r="I92" i="1"/>
  <c r="I107" i="1" s="1"/>
  <c r="F92" i="1"/>
  <c r="E92" i="1"/>
  <c r="D92" i="1"/>
  <c r="D107" i="1" s="1"/>
  <c r="C89" i="1"/>
  <c r="H85" i="1"/>
  <c r="F85" i="1"/>
  <c r="D85" i="1"/>
  <c r="G61" i="1"/>
  <c r="G60" i="1"/>
  <c r="H55" i="1"/>
  <c r="F55" i="1"/>
  <c r="G32" i="1" s="1"/>
  <c r="E55" i="1"/>
  <c r="F32" i="1" s="1"/>
  <c r="F27" i="1" s="1"/>
  <c r="I43" i="1"/>
  <c r="G43" i="1"/>
  <c r="H43" i="1" s="1"/>
  <c r="F43" i="1"/>
  <c r="H42" i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G35" i="1"/>
  <c r="G34" i="1" s="1"/>
  <c r="H34" i="1" s="1"/>
  <c r="F35" i="1"/>
  <c r="F34" i="1" s="1"/>
  <c r="E35" i="1"/>
  <c r="D34" i="1"/>
  <c r="I33" i="1"/>
  <c r="H33" i="1"/>
  <c r="G33" i="1"/>
  <c r="F33" i="1"/>
  <c r="I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I27" i="1" s="1"/>
  <c r="H28" i="1"/>
  <c r="G28" i="1"/>
  <c r="F28" i="1"/>
  <c r="E27" i="1"/>
  <c r="E26" i="1" s="1"/>
  <c r="E44" i="1" s="1"/>
  <c r="D27" i="1"/>
  <c r="D26" i="1" s="1"/>
  <c r="I25" i="1"/>
  <c r="H25" i="1"/>
  <c r="H23" i="1" s="1"/>
  <c r="G25" i="1"/>
  <c r="F25" i="1"/>
  <c r="I24" i="1"/>
  <c r="H24" i="1"/>
  <c r="G24" i="1"/>
  <c r="G23" i="1" s="1"/>
  <c r="F24" i="1"/>
  <c r="F23" i="1" s="1"/>
  <c r="I23" i="1"/>
  <c r="E23" i="1"/>
  <c r="D23" i="1"/>
  <c r="H16" i="1"/>
  <c r="F16" i="1"/>
  <c r="D16" i="1"/>
  <c r="F26" i="1" l="1"/>
  <c r="F44" i="1" s="1"/>
  <c r="H35" i="1"/>
  <c r="F423" i="1"/>
  <c r="G413" i="1"/>
  <c r="F299" i="1"/>
  <c r="G299" i="1" s="1"/>
  <c r="G295" i="1"/>
  <c r="I26" i="1"/>
  <c r="I44" i="1" s="1"/>
  <c r="H32" i="1"/>
  <c r="H27" i="1" s="1"/>
  <c r="H26" i="1" s="1"/>
  <c r="H44" i="1" s="1"/>
  <c r="G27" i="1"/>
  <c r="G26" i="1" s="1"/>
  <c r="G44" i="1" s="1"/>
  <c r="H92" i="1"/>
  <c r="I150" i="1"/>
  <c r="F150" i="1"/>
  <c r="F184" i="1"/>
  <c r="G184" i="1" s="1"/>
  <c r="G249" i="1"/>
  <c r="F253" i="1"/>
  <c r="G253" i="1" s="1"/>
  <c r="D44" i="1"/>
  <c r="H184" i="1"/>
  <c r="F391" i="1"/>
  <c r="G128" i="1"/>
  <c r="G150" i="1" s="1"/>
  <c r="H135" i="1"/>
  <c r="H134" i="1" s="1"/>
  <c r="H133" i="1" s="1"/>
  <c r="H150" i="1" s="1"/>
  <c r="G205" i="1"/>
  <c r="G351" i="1"/>
  <c r="H383" i="1"/>
  <c r="H380" i="1" s="1"/>
  <c r="H391" i="1" s="1"/>
  <c r="H97" i="1"/>
  <c r="H96" i="1" s="1"/>
  <c r="H95" i="1" s="1"/>
  <c r="G175" i="1"/>
  <c r="G55" i="1"/>
  <c r="G92" i="1"/>
  <c r="G107" i="1" s="1"/>
  <c r="H107" i="1" l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<sst xmlns="http://schemas.openxmlformats.org/spreadsheetml/2006/main" count="359" uniqueCount="152">
  <si>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</si>
  <si>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</si>
  <si>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</si>
  <si>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</si>
  <si>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</si>
  <si>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</si>
  <si>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</si>
  <si>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</si>
  <si>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</si>
  <si>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</si>
  <si>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</si>
  <si>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</si>
  <si>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</si>
  <si>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</si>
  <si>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</si>
  <si>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</si>
  <si>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</si>
  <si>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</si>
  <si>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</si>
  <si>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</si>
  <si>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</si>
  <si>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</si>
  <si>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</si>
  <si>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</si>
  <si>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</si>
  <si>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</si>
  <si>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</si>
  <si>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</si>
  <si>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</si>
  <si>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</si>
  <si>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</si>
  <si>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</si>
  <si>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</si>
  <si>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</si>
  <si>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</si>
  <si>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</si>
  <si>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</si>
  <si>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</si>
  <si>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</si>
  <si>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</si>
  <si>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</si>
  <si>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</si>
  <si>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</si>
  <si>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</si>
  <si>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</si>
  <si>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</si>
  <si>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</si>
  <si>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</si>
  <si>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</si>
  <si>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</si>
  <si>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</si>
  <si>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</si>
  <si>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</si>
  <si>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</si>
  <si>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</si>
  <si>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</si>
  <si>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</si>
  <si>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</si>
  <si>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</si>
  <si>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</si>
  <si>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</si>
  <si>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</si>
  <si>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</si>
  <si>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</si>
  <si>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</si>
  <si>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</si>
  <si>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</si>
  <si>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</si>
  <si>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</si>
  <si>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</si>
  <si>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</si>
  <si>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</si>
  <si>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</si>
  <si>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</si>
  <si>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</si>
  <si>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</si>
  <si>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</si>
  <si>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</si>
  <si>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</si>
  <si>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</si>
  <si>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</si>
  <si>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</si>
  <si>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</si>
  <si>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</si>
  <si>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</si>
  <si>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</si>
  <si>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</si>
  <si>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</si>
  <si>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</si>
  <si>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</si>
  <si>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</si>
  <si>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</si>
  <si>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</si>
  <si>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</si>
  <si>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</si>
  <si>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</si>
  <si>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</si>
  <si>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</si>
  <si>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</si>
  <si>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</si>
  <si>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</si>
  <si>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</si>
  <si>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</si>
  <si>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</si>
  <si>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</si>
  <si>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</si>
  <si>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</si>
  <si>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</si>
  <si>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</si>
  <si>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</si>
  <si>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</si>
  <si>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</si>
  <si>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</si>
  <si>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</si>
  <si>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</si>
  <si>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</si>
  <si>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</si>
  <si>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</si>
  <si>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</si>
  <si>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</si>
  <si>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</si>
  <si>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</si>
  <si>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</si>
  <si>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</si>
  <si>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</si>
  <si>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</si>
  <si>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</si>
  <si>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</si>
  <si>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</si>
  <si>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</si>
  <si>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</si>
  <si>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</si>
  <si>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</si>
  <si>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</si>
  <si>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</si>
  <si>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</si>
  <si>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</si>
  <si>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</si>
  <si>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</si>
  <si>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</si>
  <si>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</si>
  <si>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</si>
  <si>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</si>
  <si>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</si>
  <si>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52 tonn, men det legges til grunn at hele avsetningen tas</t>
  </si>
  <si>
    <t>4 Registrert rekreasjonsfiske utgjør 331 tonn, men det legges til grunn at hele avsetningen tas</t>
  </si>
  <si>
    <t>3 Registrert rekreasjonsfiske utgjør 684 tonn, men det legges til grunn at hele avsetningen tas</t>
  </si>
  <si>
    <t>FANGST UKE 27</t>
  </si>
  <si>
    <t>FANGST T.O.M UKE 27</t>
  </si>
  <si>
    <t>RESTKVOTER UKE 27</t>
  </si>
  <si>
    <t>FANGST T.O.M UKE 27 2023</t>
  </si>
  <si>
    <r>
      <t>3</t>
    </r>
    <r>
      <rPr>
        <sz val="9"/>
        <color indexed="8"/>
        <rFont val="Calibri"/>
        <family val="2"/>
      </rPr>
      <t xml:space="preserve"> Det er fisket 2484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</si>
</sst>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showWhiteSpace="0" view="pageLayout" topLeftCell="A111" zoomScale="85" zoomScaleNormal="85" zoomScaleSheetLayoutView="100" zoomScalePageLayoutView="85" workbookViewId="0">
      <selection activeCell="C154" sqref="C15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97.870500000000007</v>
      </c>
      <c r="G23" s="28">
        <f t="shared" si="0"/>
        <v>37201.800370000004</v>
      </c>
      <c r="H23" s="11">
        <f t="shared" si="0"/>
        <v>23610.199629999996</v>
      </c>
      <c r="I23" s="11">
        <f t="shared" si="0"/>
        <v>48104.875719999996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97.8705</f>
        <v>97.870500000000007</v>
      </c>
      <c r="G24" s="23">
        <f>36679.83658</f>
        <v>36679.836580000003</v>
      </c>
      <c r="H24" s="23">
        <f>E24-G24</f>
        <v>23362.163419999997</v>
      </c>
      <c r="I24" s="23">
        <f>47781.56398</f>
        <v>47781.563979999999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521.96379</f>
        <v>521.96379000000002</v>
      </c>
      <c r="H25" s="23">
        <f>E25-G25</f>
        <v>248.03620999999998</v>
      </c>
      <c r="I25" s="23">
        <f>323.31174</f>
        <v>323.31173999999999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1172.59212</v>
      </c>
      <c r="G26" s="11">
        <f t="shared" si="1"/>
        <v>117321.96242</v>
      </c>
      <c r="H26" s="11">
        <f t="shared" si="1"/>
        <v>27552.03758</v>
      </c>
      <c r="I26" s="11">
        <f t="shared" si="1"/>
        <v>165853.36437999998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1018.80607</v>
      </c>
      <c r="G27" s="132">
        <f t="shared" ref="G27:I27" si="2">G28+G29+G30+G31+G32</f>
        <v>96015.63029999999</v>
      </c>
      <c r="H27" s="132">
        <f t="shared" si="2"/>
        <v>16962.369699999999</v>
      </c>
      <c r="I27" s="132">
        <f t="shared" si="2"/>
        <v>131967.28905999998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102.54897</f>
        <v>102.54897</v>
      </c>
      <c r="G28" s="127">
        <f>25558.76655 - F56</f>
        <v>25500.76655</v>
      </c>
      <c r="H28" s="127">
        <f t="shared" ref="H28:H40" si="3">E28-G28</f>
        <v>3129.2334499999997</v>
      </c>
      <c r="I28" s="127">
        <f>36136.31883 - H56</f>
        <v>36136.318829999997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113.3217</f>
        <v>113.32170000000001</v>
      </c>
      <c r="G29" s="127">
        <f>26891.82172 - F57</f>
        <v>26820.82172</v>
      </c>
      <c r="H29" s="127">
        <f t="shared" si="3"/>
        <v>2844.1782800000001</v>
      </c>
      <c r="I29" s="127">
        <f>37146.29047 - H57</f>
        <v>37146.29047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301.01064</f>
        <v>301.01064000000002</v>
      </c>
      <c r="G30" s="127">
        <f>25157.44581 - F58</f>
        <v>25060.445810000001</v>
      </c>
      <c r="H30" s="127">
        <f t="shared" si="3"/>
        <v>2183.5541899999989</v>
      </c>
      <c r="I30" s="127">
        <f>34851.60242 - H58</f>
        <v>34851.602420000003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191.92476</f>
        <v>191.92475999999999</v>
      </c>
      <c r="G31" s="127">
        <f>18407.59622 - F59</f>
        <v>18323.596219999999</v>
      </c>
      <c r="H31" s="127">
        <f t="shared" si="3"/>
        <v>1015.4037800000006</v>
      </c>
      <c r="I31" s="127">
        <f>23833.07734 - H59</f>
        <v>23833.07734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310</v>
      </c>
      <c r="G32" s="127">
        <f>F55</f>
        <v>310</v>
      </c>
      <c r="H32" s="127">
        <f t="shared" si="3"/>
        <v>7790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0.48485</f>
        <v>0.48485</v>
      </c>
      <c r="G33" s="132">
        <f>9838.25059</f>
        <v>9838.2505899999996</v>
      </c>
      <c r="H33" s="132">
        <f t="shared" si="3"/>
        <v>7020.7494100000004</v>
      </c>
      <c r="I33" s="132">
        <f>14125.42039</f>
        <v>14125.420389999999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153.30119999999999</v>
      </c>
      <c r="G34" s="132">
        <f>G35+G36</f>
        <v>11468.081529999999</v>
      </c>
      <c r="H34" s="132">
        <f t="shared" si="3"/>
        <v>3568.9184700000005</v>
      </c>
      <c r="I34" s="132">
        <f>I35+I36</f>
        <v>19760.654930000001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107.3012</f>
        <v>107.30119999999999</v>
      </c>
      <c r="G35" s="132">
        <f>14098.08153 - F60 - F61</f>
        <v>11422.081529999999</v>
      </c>
      <c r="H35" s="127">
        <f t="shared" si="3"/>
        <v>2654.9184700000005</v>
      </c>
      <c r="I35" s="127">
        <f>23927.65493 - H60 - H61</f>
        <v>19760.654930000001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46</v>
      </c>
      <c r="G36" s="71">
        <f>F60</f>
        <v>46</v>
      </c>
      <c r="H36" s="71">
        <f t="shared" si="3"/>
        <v>914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0</f>
        <v>0</v>
      </c>
      <c r="G38" s="98">
        <f>463.82117</f>
        <v>463.82117</v>
      </c>
      <c r="H38" s="98">
        <f t="shared" si="3"/>
        <v>391.17883</v>
      </c>
      <c r="I38" s="98">
        <f>486.26274</f>
        <v>486.26274000000001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38</v>
      </c>
      <c r="G39" s="98">
        <f>F61</f>
        <v>2630</v>
      </c>
      <c r="H39" s="98">
        <f t="shared" si="3"/>
        <v>370</v>
      </c>
      <c r="I39" s="98">
        <f>H61</f>
        <v>4167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34.03468</f>
        <v>34.034680000000002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1.5246</f>
        <v>1.5246</v>
      </c>
      <c r="G41" s="98">
        <f>320.31801</f>
        <v>320.31801000000002</v>
      </c>
      <c r="H41" s="98">
        <f>E41-G41</f>
        <v>79.681989999999985</v>
      </c>
      <c r="I41" s="98">
        <f>346.22565</f>
        <v>346.22564999999997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0.1652</f>
        <v>0.16520000000000001</v>
      </c>
      <c r="G43" s="139">
        <f>85.68146</f>
        <v>85.681460000000001</v>
      </c>
      <c r="H43" s="139">
        <f t="shared" ref="H43" si="4">E43-G43</f>
        <v>-85.681460000000001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1344.1870999999999</v>
      </c>
      <c r="G44" s="76">
        <f t="shared" si="5"/>
        <v>165371.94863</v>
      </c>
      <c r="H44" s="76">
        <f t="shared" si="5"/>
        <v>53669.051369999986</v>
      </c>
      <c r="I44" s="76">
        <f t="shared" si="5"/>
        <v>226782.73376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310</v>
      </c>
      <c r="F55" s="11">
        <f>F59+F58+F57+F56</f>
        <v>310</v>
      </c>
      <c r="G55" s="295">
        <f>D55-F55</f>
        <v>7562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>
        <v>58</v>
      </c>
      <c r="F56" s="127">
        <v>58</v>
      </c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>
        <v>71</v>
      </c>
      <c r="F57" s="127">
        <v>71</v>
      </c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>
        <v>97</v>
      </c>
      <c r="F58" s="127">
        <v>97</v>
      </c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>
        <v>84</v>
      </c>
      <c r="F59" s="192">
        <v>84</v>
      </c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46</v>
      </c>
      <c r="F60" s="95">
        <v>46</v>
      </c>
      <c r="G60" s="95">
        <f>D60-F60</f>
        <v>914</v>
      </c>
      <c r="H60" s="95"/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38</v>
      </c>
      <c r="F61" s="139">
        <v>2630</v>
      </c>
      <c r="G61" s="139">
        <f>D61-F61</f>
        <v>370</v>
      </c>
      <c r="H61" s="139">
        <v>4167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6.6205999999999996</v>
      </c>
      <c r="G92" s="11">
        <f t="shared" si="6"/>
        <v>23204.741839999999</v>
      </c>
      <c r="H92" s="11">
        <f t="shared" si="6"/>
        <v>2756.2581599999994</v>
      </c>
      <c r="I92" s="11">
        <f t="shared" si="6"/>
        <v>38805.009870000002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6.6206</f>
        <v>6.6205999999999996</v>
      </c>
      <c r="G93" s="23">
        <f>22426.50459</f>
        <v>22426.50459</v>
      </c>
      <c r="H93" s="23">
        <f>E93-G93</f>
        <v>2709.4954099999995</v>
      </c>
      <c r="I93" s="23">
        <f>38305.28953</f>
        <v>38305.289530000002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499.72034</f>
        <v>499.72034000000002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424.15287000000001</v>
      </c>
      <c r="G95" s="11">
        <f t="shared" si="7"/>
        <v>31567.585419999999</v>
      </c>
      <c r="H95" s="11">
        <f t="shared" si="7"/>
        <v>17426.414580000001</v>
      </c>
      <c r="I95" s="11">
        <f t="shared" si="7"/>
        <v>22395.96528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380.09343999999999</v>
      </c>
      <c r="G96" s="132">
        <f t="shared" si="8"/>
        <v>24807.578889999997</v>
      </c>
      <c r="H96" s="132">
        <f t="shared" si="8"/>
        <v>12686.421110000003</v>
      </c>
      <c r="I96" s="132">
        <f t="shared" si="8"/>
        <v>16018.361920000001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50.99043</f>
        <v>50.990430000000003</v>
      </c>
      <c r="G97" s="127">
        <f>4144.44651</f>
        <v>4144.4465099999998</v>
      </c>
      <c r="H97" s="127">
        <f t="shared" ref="H97:H104" si="9">E97-G97</f>
        <v>5870.5534900000002</v>
      </c>
      <c r="I97" s="127">
        <f>2413.80114</f>
        <v>2413.80114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169.15081</f>
        <v>169.15081000000001</v>
      </c>
      <c r="G98" s="127">
        <f>8475.9682</f>
        <v>8475.9681999999993</v>
      </c>
      <c r="H98" s="127">
        <f t="shared" si="9"/>
        <v>2138.0318000000007</v>
      </c>
      <c r="I98" s="127">
        <f>5105.37152</f>
        <v>5105.3715199999997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31.80632</f>
        <v>31.806319999999999</v>
      </c>
      <c r="G99" s="127">
        <f>7519.32903</f>
        <v>7519.3290299999999</v>
      </c>
      <c r="H99" s="127">
        <f t="shared" si="9"/>
        <v>2592.6709700000001</v>
      </c>
      <c r="I99" s="127">
        <f>4434.58621</f>
        <v>4434.5862100000004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128.14588</f>
        <v>128.14588000000001</v>
      </c>
      <c r="G100" s="127">
        <f>4667.83515</f>
        <v>4667.8351499999999</v>
      </c>
      <c r="H100" s="127">
        <f t="shared" si="9"/>
        <v>2085.1648500000001</v>
      </c>
      <c r="I100" s="127">
        <f>4064.60305</f>
        <v>4064.6030500000002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0.10942</f>
        <v>0.10942</v>
      </c>
      <c r="G101" s="132">
        <f>4930.11185</f>
        <v>4930.1118500000002</v>
      </c>
      <c r="H101" s="132">
        <f t="shared" si="9"/>
        <v>2665.8881499999998</v>
      </c>
      <c r="I101" s="132">
        <f>5146.6793</f>
        <v>5146.6792999999998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43.95001</f>
        <v>43.950009999999999</v>
      </c>
      <c r="G102" s="75">
        <f>1829.89468</f>
        <v>1829.8946800000001</v>
      </c>
      <c r="H102" s="75">
        <f t="shared" si="9"/>
        <v>2074.1053199999997</v>
      </c>
      <c r="I102" s="75">
        <f>1230.92406</f>
        <v>1230.9240600000001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2.91957</f>
        <v>2.9195700000000002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0.5123</f>
        <v>0.51229999999999998</v>
      </c>
      <c r="G105" s="98">
        <f>20.10136</f>
        <v>20.10136</v>
      </c>
      <c r="H105" s="139">
        <f>E105-G105</f>
        <v>29.89864</v>
      </c>
      <c r="I105" s="98">
        <f>7.1056</f>
        <v>7.1055999999999999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0.62586</f>
        <v>0.62585999999999997</v>
      </c>
      <c r="G106" s="139">
        <f>17.74218</f>
        <v>17.742180000000001</v>
      </c>
      <c r="H106" s="139">
        <f t="shared" ref="H106" si="10">E106-G106</f>
        <v>-17.742180000000001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434.83120000000002</v>
      </c>
      <c r="G107" s="76">
        <f t="shared" si="12"/>
        <v>55146.273560000001</v>
      </c>
      <c r="H107" s="76">
        <f t="shared" si="12"/>
        <v>20477.726439999999</v>
      </c>
      <c r="I107" s="76">
        <f t="shared" si="12"/>
        <v>61607.232179999999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36.300150000000002</v>
      </c>
      <c r="G128" s="11">
        <f t="shared" si="13"/>
        <v>39268.168479999993</v>
      </c>
      <c r="H128" s="11">
        <f t="shared" si="13"/>
        <v>33038.831520000007</v>
      </c>
      <c r="I128" s="11">
        <f t="shared" si="13"/>
        <v>39467.640139999996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36.30015</f>
        <v>36.300150000000002</v>
      </c>
      <c r="G129" s="23">
        <f>34840.77632</f>
        <v>34840.776319999997</v>
      </c>
      <c r="H129" s="23">
        <f>E129-G129</f>
        <v>22721.223680000003</v>
      </c>
      <c r="I129" s="23">
        <f>34804.53391</f>
        <v>34804.533909999998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4361.94201</f>
        <v>4361.9420099999998</v>
      </c>
      <c r="H130" s="23">
        <f>E130-G130</f>
        <v>9883.0579900000012</v>
      </c>
      <c r="I130" s="23">
        <f>4547.79998</f>
        <v>4547.7999799999998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94.70872</f>
        <v>94.70872</v>
      </c>
      <c r="G132" s="95">
        <f>8852.6498+2483.9</f>
        <v>11336.549799999999</v>
      </c>
      <c r="H132" s="95">
        <f>E132-G132</f>
        <v>41159.450199999999</v>
      </c>
      <c r="I132" s="95">
        <f>26760.55959</f>
        <v>26760.559590000001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645.12162999999998</v>
      </c>
      <c r="G133" s="94">
        <f t="shared" ref="G133" si="14">G134+G139+G142</f>
        <v>47395.915695000003</v>
      </c>
      <c r="H133" s="94">
        <f>H134+H139+H142</f>
        <v>32769.084305000004</v>
      </c>
      <c r="I133" s="94">
        <f>I134+I139+I142</f>
        <v>48543.310989999998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477.80835000000002</v>
      </c>
      <c r="G134" s="125">
        <f>G135+G136+G138+G137</f>
        <v>34933.058105000004</v>
      </c>
      <c r="H134" s="125">
        <f>H135+H136+H137+H138</f>
        <v>24145.941895000004</v>
      </c>
      <c r="I134" s="125">
        <f>I135+I136+I137+I138</f>
        <v>38103.765500000001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148.44937</f>
        <v>148.44936999999999</v>
      </c>
      <c r="G135" s="127">
        <v>6874.77999</v>
      </c>
      <c r="H135" s="127">
        <f>E135-G135</f>
        <v>10899.220010000001</v>
      </c>
      <c r="I135" s="127">
        <f>6121.39672</f>
        <v>6121.3967199999997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96.25933</f>
        <v>96.259330000000006</v>
      </c>
      <c r="G136" s="127">
        <v>10468.415725000001</v>
      </c>
      <c r="H136" s="127">
        <f>E136-G136</f>
        <v>4470.5842749999993</v>
      </c>
      <c r="I136" s="127">
        <f>10308.63985</f>
        <v>10308.63985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130.43745</f>
        <v>130.43745000000001</v>
      </c>
      <c r="G137" s="127">
        <v>9292.6686200000004</v>
      </c>
      <c r="H137" s="127">
        <f>E137-G137</f>
        <v>3758.3313799999996</v>
      </c>
      <c r="I137" s="127">
        <f>11084.88869</f>
        <v>11084.88869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102.6622</f>
        <v>102.6622</v>
      </c>
      <c r="G138" s="127">
        <v>8297.1937699999999</v>
      </c>
      <c r="H138" s="127">
        <f>E138-G138</f>
        <v>5017.8062300000001</v>
      </c>
      <c r="I138" s="127">
        <f>10588.84024</f>
        <v>10588.84024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12.108120000000001</v>
      </c>
      <c r="G139" s="132">
        <f>SUM(G140:G141)</f>
        <v>8680.2434599999997</v>
      </c>
      <c r="H139" s="132">
        <f>H140+H141</f>
        <v>249.75654000000088</v>
      </c>
      <c r="I139" s="132">
        <f>SUM(I140:I141)</f>
        <v>6384.2000200000002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11.2146</f>
        <v>11.214600000000001</v>
      </c>
      <c r="G140" s="127">
        <f>8302.24017</f>
        <v>8302.2401699999991</v>
      </c>
      <c r="H140" s="127">
        <f t="shared" ref="H140:H148" si="15">E140-G140</f>
        <v>127.75983000000087</v>
      </c>
      <c r="I140" s="127">
        <f>6235.8124</f>
        <v>6235.8123999999998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0.89352</f>
        <v>0.89351999999999998</v>
      </c>
      <c r="G141" s="127">
        <f>378.00329</f>
        <v>378.00328999999999</v>
      </c>
      <c r="H141" s="127">
        <f t="shared" si="15"/>
        <v>121.99671000000001</v>
      </c>
      <c r="I141" s="127">
        <f>148.38762</f>
        <v>148.38762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155.20516</f>
        <v>155.20516000000001</v>
      </c>
      <c r="G142" s="75">
        <f>3782.61413</f>
        <v>3782.6141299999999</v>
      </c>
      <c r="H142" s="75">
        <f t="shared" si="15"/>
        <v>8373.3858700000001</v>
      </c>
      <c r="I142" s="75">
        <f>4055.34547</f>
        <v>4055.3454700000002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255.886</f>
        <v>255.886</v>
      </c>
      <c r="H144" s="98">
        <f t="shared" si="15"/>
        <v>-5.8859999999999957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49.5822</f>
        <v>49.5822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0.663</f>
        <v>0.66300000000000003</v>
      </c>
      <c r="G147" s="98">
        <f>39.12473</f>
        <v>39.12473</v>
      </c>
      <c r="H147" s="139">
        <f t="shared" si="15"/>
        <v>236.87527</v>
      </c>
      <c r="I147" s="98">
        <f>26.67193</f>
        <v>26.67193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0.281</f>
        <v>0.28100000000000003</v>
      </c>
      <c r="G148" s="139">
        <f>111.88909</f>
        <v>111.88909</v>
      </c>
      <c r="H148" s="139">
        <f t="shared" si="15"/>
        <v>-111.88909</v>
      </c>
      <c r="I148" s="139">
        <f>91.20693</f>
        <v>91.20693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826.6567</v>
      </c>
      <c r="G150" s="76">
        <f>G128+G132+G133+G143+G144+G145+G146+G147+G148</f>
        <v>100423.24634499999</v>
      </c>
      <c r="H150" s="76">
        <f>H128+H132+H133+H143+H144+H145+H146+H147+H148</f>
        <v>107216.75365500001</v>
      </c>
      <c r="I150" s="76">
        <f>I128+I132+I133+I143+I144+I145+I146+I147+I148</f>
        <v>117182.33158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0</f>
        <v>0</v>
      </c>
      <c r="F175" s="275">
        <f>638.54644</f>
        <v>638.54643999999996</v>
      </c>
      <c r="G175" s="43">
        <f>D175-F175-F176</f>
        <v>2417.1454800000001</v>
      </c>
      <c r="H175" s="275">
        <f>1047.61957</f>
        <v>1047.6195700000001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1167.30808</f>
        <v>1167.30808</v>
      </c>
      <c r="G176" s="216"/>
      <c r="H176" s="152">
        <f>1219.39554</f>
        <v>1219.39554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55.41002</f>
        <v>55.410020000000003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3.1831800000000001</v>
      </c>
      <c r="F178" s="181">
        <f>F179+F180+F181</f>
        <v>3846.0364599999998</v>
      </c>
      <c r="G178" s="181">
        <f>D178-F178</f>
        <v>2487.9635400000002</v>
      </c>
      <c r="H178" s="181">
        <f>H179+H180+H181</f>
        <v>4844.7152699999997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1.40034</f>
        <v>1.4003399999999999</v>
      </c>
      <c r="F179" s="127">
        <f>1855.56514</f>
        <v>1855.5651399999999</v>
      </c>
      <c r="G179" s="127"/>
      <c r="H179" s="127">
        <f>2242.02297</f>
        <v>2242.02297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1.78284</f>
        <v>1.78284</v>
      </c>
      <c r="F180" s="127">
        <f>1204.29498</f>
        <v>1204.2949799999999</v>
      </c>
      <c r="G180" s="127"/>
      <c r="H180" s="127">
        <f>1586.1706</f>
        <v>1586.1705999999999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</f>
        <v>0</v>
      </c>
      <c r="F181" s="192">
        <f>786.17634</f>
        <v>786.17633999999998</v>
      </c>
      <c r="G181" s="192"/>
      <c r="H181" s="192">
        <f>1016.5217</f>
        <v>1016.5217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3.1831800000000001</v>
      </c>
      <c r="F184" s="194">
        <f>F175+F176+F177+F178+F182+F183</f>
        <v>5734.0603599999995</v>
      </c>
      <c r="G184" s="194">
        <f>D184-F184</f>
        <v>5088.9396400000005</v>
      </c>
      <c r="H184" s="194">
        <f>H175+H176+H177+H178+H182+H183</f>
        <v>7167.1404000000002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1.31138</f>
        <v>1.31138</v>
      </c>
      <c r="F204" s="124">
        <f>34246.53738</f>
        <v>34246.537380000002</v>
      </c>
      <c r="G204" s="124">
        <f>D204-F204</f>
        <v>12035.462619999998</v>
      </c>
      <c r="H204" s="124">
        <f>37352.02135</f>
        <v>37352.021350000003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0.313</f>
        <v>0.313</v>
      </c>
      <c r="F205" s="124">
        <f>25.33158</f>
        <v>25.331579999999999</v>
      </c>
      <c r="G205" s="124">
        <f>D205-F205</f>
        <v>74.668419999999998</v>
      </c>
      <c r="H205" s="124">
        <f>17.84175</f>
        <v>17.841750000000001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1.6243799999999999</v>
      </c>
      <c r="F207" s="190">
        <f>SUM(F204:F206)</f>
        <v>34271.86896</v>
      </c>
      <c r="G207" s="190">
        <f>D207-F207</f>
        <v>12146.13104</v>
      </c>
      <c r="H207" s="190">
        <f>SUM(H204:H206)</f>
        <v>37369.863100000002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13.340359999999999</v>
      </c>
      <c r="F249" s="75">
        <f>F250+F251</f>
        <v>3042.9211</v>
      </c>
      <c r="G249" s="75">
        <f>D249-F249</f>
        <v>944.07889999999998</v>
      </c>
      <c r="H249" s="75">
        <f>H250+H251</f>
        <v>2395.7780499999999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12.56346</f>
        <v>12.563459999999999</v>
      </c>
      <c r="F250" s="75">
        <f>2559.43141</f>
        <v>2559.4314100000001</v>
      </c>
      <c r="G250" s="75"/>
      <c r="H250" s="75">
        <f>1912.707</f>
        <v>1912.7070000000001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0.7769</f>
        <v>0.77690000000000003</v>
      </c>
      <c r="F251" s="124">
        <f>483.48969</f>
        <v>483.48969</v>
      </c>
      <c r="G251" s="168"/>
      <c r="H251" s="124">
        <f>483.07105</f>
        <v>483.07105000000001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42.1437</f>
        <v>42.143700000000003</v>
      </c>
      <c r="F252" s="75">
        <f>4699.26681</f>
        <v>4699.2668100000001</v>
      </c>
      <c r="G252" s="75">
        <f>D252-F252</f>
        <v>-86.266810000000078</v>
      </c>
      <c r="H252" s="75">
        <f>4336.08735</f>
        <v>4336.0873499999998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55.484059999999999</v>
      </c>
      <c r="F253" s="190">
        <f>SUM(F249,F252)</f>
        <v>7742.1879100000006</v>
      </c>
      <c r="G253" s="190">
        <f>D253-F253</f>
        <v>857.81208999999944</v>
      </c>
      <c r="H253" s="190">
        <f>SUM(H249,H252)</f>
        <v>6731.8653999999997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2.2876599999999998</v>
      </c>
      <c r="F295" s="75">
        <f>F296+F297</f>
        <v>3377.39743</v>
      </c>
      <c r="G295" s="75">
        <f>D295-F295</f>
        <v>1712.60257</v>
      </c>
      <c r="H295" s="75">
        <f>H296+H297</f>
        <v>2870.9326599999999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0.43236</f>
        <v>0.43236000000000002</v>
      </c>
      <c r="F296" s="75">
        <f>2960.79242</f>
        <v>2960.7924200000002</v>
      </c>
      <c r="G296" s="75"/>
      <c r="H296" s="75">
        <f>2470.73063</f>
        <v>2470.73063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1.8553</f>
        <v>1.8552999999999999</v>
      </c>
      <c r="F297" s="124">
        <f>416.60501</f>
        <v>416.60500999999999</v>
      </c>
      <c r="G297" s="168"/>
      <c r="H297" s="124">
        <f>400.20203</f>
        <v>400.20202999999998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34.456</f>
        <v>34.456000000000003</v>
      </c>
      <c r="F298" s="75">
        <f>2027.69839</f>
        <v>2027.69839</v>
      </c>
      <c r="G298" s="75">
        <f>D298-F298</f>
        <v>953.30160999999998</v>
      </c>
      <c r="H298" s="75">
        <f>2302.6993</f>
        <v>2302.6993000000002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36.743660000000006</v>
      </c>
      <c r="F299" s="190">
        <f>SUM(F295,F298)</f>
        <v>5405.0958200000005</v>
      </c>
      <c r="G299" s="190">
        <f>D299-F299</f>
        <v>2665.9041799999995</v>
      </c>
      <c r="H299" s="190">
        <f>SUM(H295,H298)</f>
        <v>5173.6319600000006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2.603</f>
        <v>2.6030000000000002</v>
      </c>
      <c r="F350" s="124">
        <f>349.3992</f>
        <v>349.39920000000001</v>
      </c>
      <c r="G350" s="124">
        <f>D350-F350</f>
        <v>450.60079999999999</v>
      </c>
      <c r="H350" s="124">
        <f>288.15854</f>
        <v>288.15854000000002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57.07553</f>
        <v>57.075530000000001</v>
      </c>
      <c r="F351" s="124">
        <f>943.51415</f>
        <v>943.51414999999997</v>
      </c>
      <c r="G351" s="124">
        <f>D351-F351</f>
        <v>2097.48585</v>
      </c>
      <c r="H351" s="124">
        <f>1141.51392</f>
        <v>1141.5139200000001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59.678530000000002</v>
      </c>
      <c r="F354" s="190">
        <f>SUM(F350:F353)</f>
        <v>1296.6139699999999</v>
      </c>
      <c r="G354" s="190">
        <f>D354-F354</f>
        <v>2554.3860300000001</v>
      </c>
      <c r="H354" s="190">
        <f>H350+H351+H352+H353</f>
        <v>1431.9935500000004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148.55000000000001</v>
      </c>
      <c r="G380" s="252">
        <f t="shared" si="17"/>
        <v>7313.7155899999998</v>
      </c>
      <c r="H380" s="252">
        <f>H384+H383+H382+H381</f>
        <v>15655.28441</v>
      </c>
      <c r="I380" s="252">
        <f t="shared" si="17"/>
        <v>5636.2962800000005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4157.25401</f>
        <v>4157.2540099999997</v>
      </c>
      <c r="H381" s="256">
        <f t="shared" ref="H381:H385" si="18">E381-G381</f>
        <v>9032.7459899999994</v>
      </c>
      <c r="I381" s="256">
        <f>2046.30392</f>
        <v>2046.3039200000001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806.0337</f>
        <v>806.03369999999995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3.753</f>
        <v>3.7530000000000001</v>
      </c>
      <c r="G383" s="256">
        <f>1235.26562</f>
        <v>1235.2656199999999</v>
      </c>
      <c r="H383" s="256">
        <f t="shared" si="18"/>
        <v>247.7343800000001</v>
      </c>
      <c r="I383" s="256">
        <f>1362.45896</f>
        <v>1362.4589599999999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144.797</f>
        <v>144.797</v>
      </c>
      <c r="G384" s="256">
        <f>1008.75526</f>
        <v>1008.75526</v>
      </c>
      <c r="H384" s="256">
        <f t="shared" si="18"/>
        <v>3854.2447400000001</v>
      </c>
      <c r="I384" s="256">
        <f>1421.4997</f>
        <v>1421.4997000000001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0.04</f>
        <v>0.04</v>
      </c>
      <c r="G385" s="267">
        <f>2132.18278</f>
        <v>2132.1827800000001</v>
      </c>
      <c r="H385" s="267">
        <f t="shared" si="18"/>
        <v>3367.8172199999999</v>
      </c>
      <c r="I385" s="267">
        <f>5096.83428</f>
        <v>5096.83428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48.101399999999998</v>
      </c>
      <c r="G386" s="268">
        <f>G388+G387</f>
        <v>1694.7537899999998</v>
      </c>
      <c r="H386" s="268">
        <f>E386-G386</f>
        <v>6305.2462100000002</v>
      </c>
      <c r="I386" s="268">
        <f>I388+I387</f>
        <v>2237.6387199999999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11.4507</f>
        <v>11.450699999999999</v>
      </c>
      <c r="G387" s="256">
        <f>543.28897</f>
        <v>543.28896999999995</v>
      </c>
      <c r="H387" s="256"/>
      <c r="I387" s="256">
        <f>776.64504</f>
        <v>776.64503999999999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36.6507</f>
        <v>36.650700000000001</v>
      </c>
      <c r="G388" s="277">
        <f>1151.46482</f>
        <v>1151.4648199999999</v>
      </c>
      <c r="H388" s="277"/>
      <c r="I388" s="277">
        <f>1460.99368</f>
        <v>1460.99368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13.672</f>
        <v>13.672000000000001</v>
      </c>
      <c r="G390" s="267">
        <f>52.25616</f>
        <v>52.256160000000001</v>
      </c>
      <c r="H390" s="267">
        <f>E390-G390</f>
        <v>-52.256160000000001</v>
      </c>
      <c r="I390" s="267">
        <f>46.51015</f>
        <v>46.510150000000003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210.36339999999998</v>
      </c>
      <c r="G391" s="286">
        <f t="shared" si="19"/>
        <v>11193.024719999999</v>
      </c>
      <c r="H391" s="286">
        <f>H380+H385+H386+H389+H390</f>
        <v>25288.975280000002</v>
      </c>
      <c r="I391" s="286">
        <f t="shared" si="19"/>
        <v>13017.352930000001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62.953999999999994</v>
      </c>
      <c r="F413" s="26">
        <f>SUM(F414:F415)</f>
        <v>62.953999999999994</v>
      </c>
      <c r="G413" s="85">
        <f>D413-F413</f>
        <v>1172.046</v>
      </c>
      <c r="H413" s="26">
        <f>SUM(H414:H415)</f>
        <v>59.165700000000001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50.126</f>
        <v>50.125999999999998</v>
      </c>
      <c r="F414" s="205">
        <f>50.126</f>
        <v>50.125999999999998</v>
      </c>
      <c r="G414" s="206"/>
      <c r="H414" s="205">
        <f>47.2485</f>
        <v>47.2485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12.828</f>
        <v>12.827999999999999</v>
      </c>
      <c r="F415" s="208">
        <f>12.828</f>
        <v>12.827999999999999</v>
      </c>
      <c r="G415" s="209"/>
      <c r="H415" s="208">
        <f>11.9172</f>
        <v>11.917199999999999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0</v>
      </c>
      <c r="G416" s="85">
        <f>D416-F416</f>
        <v>1060</v>
      </c>
      <c r="H416" s="26">
        <f>SUM(H417:H418)</f>
        <v>0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62.953999999999994</v>
      </c>
      <c r="F423" s="40">
        <f>F413+F416+F419+F422</f>
        <v>62.953999999999994</v>
      </c>
      <c r="G423" s="41"/>
      <c r="H423" s="40">
        <f>H413+H416+H419+H422</f>
        <v>59.165700000000001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27&amp;R08.07.2024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Øystein Hermansen</cp:lastModifiedBy>
  <cp:lastPrinted>2022-11-14T12:51:47Z</cp:lastPrinted>
  <dcterms:created xsi:type="dcterms:W3CDTF">2022-08-01T13:23:35Z</dcterms:created>
  <dcterms:modified xsi:type="dcterms:W3CDTF">2024-07-08T06:41:03Z</dcterms:modified>
</cp:coreProperties>
</file>