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1C98B11D-6395-4D55-8677-0962B890E5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E413" i="1" s="1"/>
  <c r="E423" i="1" s="1"/>
  <c r="H414" i="1"/>
  <c r="F414" i="1"/>
  <c r="F413" i="1" s="1"/>
  <c r="E414" i="1"/>
  <c r="H413" i="1"/>
  <c r="H423" i="1" s="1"/>
  <c r="I390" i="1"/>
  <c r="G390" i="1"/>
  <c r="H390" i="1" s="1"/>
  <c r="F390" i="1"/>
  <c r="I389" i="1"/>
  <c r="H389" i="1"/>
  <c r="G389" i="1"/>
  <c r="F389" i="1"/>
  <c r="I388" i="1"/>
  <c r="G388" i="1"/>
  <c r="G386" i="1" s="1"/>
  <c r="F388" i="1"/>
  <c r="F386" i="1" s="1"/>
  <c r="I387" i="1"/>
  <c r="I386" i="1" s="1"/>
  <c r="G387" i="1"/>
  <c r="F387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H380" i="1" s="1"/>
  <c r="G383" i="1"/>
  <c r="F383" i="1"/>
  <c r="F380" i="1" s="1"/>
  <c r="I382" i="1"/>
  <c r="H382" i="1"/>
  <c r="G382" i="1"/>
  <c r="F382" i="1"/>
  <c r="I381" i="1"/>
  <c r="H381" i="1"/>
  <c r="G381" i="1"/>
  <c r="F381" i="1"/>
  <c r="G380" i="1"/>
  <c r="D380" i="1"/>
  <c r="D391" i="1" s="1"/>
  <c r="H372" i="1"/>
  <c r="F372" i="1"/>
  <c r="H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E350" i="1"/>
  <c r="E354" i="1" s="1"/>
  <c r="D343" i="1"/>
  <c r="H299" i="1"/>
  <c r="D299" i="1"/>
  <c r="H298" i="1"/>
  <c r="F298" i="1"/>
  <c r="G298" i="1" s="1"/>
  <c r="E298" i="1"/>
  <c r="H297" i="1"/>
  <c r="F297" i="1"/>
  <c r="E297" i="1"/>
  <c r="H296" i="1"/>
  <c r="F296" i="1"/>
  <c r="F295" i="1" s="1"/>
  <c r="E296" i="1"/>
  <c r="H295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E18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G177" i="1"/>
  <c r="F177" i="1"/>
  <c r="E177" i="1"/>
  <c r="H176" i="1"/>
  <c r="F176" i="1"/>
  <c r="E176" i="1"/>
  <c r="H175" i="1"/>
  <c r="F175" i="1"/>
  <c r="F184" i="1" s="1"/>
  <c r="G184" i="1" s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H140" i="1"/>
  <c r="H139" i="1" s="1"/>
  <c r="G140" i="1"/>
  <c r="F140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G134" i="1"/>
  <c r="G133" i="1" s="1"/>
  <c r="F135" i="1"/>
  <c r="F134" i="1" s="1"/>
  <c r="F133" i="1" s="1"/>
  <c r="E134" i="1"/>
  <c r="E133" i="1" s="1"/>
  <c r="E150" i="1" s="1"/>
  <c r="D134" i="1"/>
  <c r="D133" i="1" s="1"/>
  <c r="D150" i="1" s="1"/>
  <c r="I132" i="1"/>
  <c r="H132" i="1"/>
  <c r="F132" i="1"/>
  <c r="I131" i="1"/>
  <c r="G131" i="1"/>
  <c r="H131" i="1" s="1"/>
  <c r="F131" i="1"/>
  <c r="I130" i="1"/>
  <c r="H130" i="1"/>
  <c r="G130" i="1"/>
  <c r="F130" i="1"/>
  <c r="F128" i="1" s="1"/>
  <c r="I129" i="1"/>
  <c r="G129" i="1"/>
  <c r="H129" i="1" s="1"/>
  <c r="F129" i="1"/>
  <c r="I128" i="1"/>
  <c r="G128" i="1"/>
  <c r="E128" i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F96" i="1" s="1"/>
  <c r="F95" i="1" s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E96" i="1"/>
  <c r="E95" i="1" s="1"/>
  <c r="E107" i="1" s="1"/>
  <c r="D96" i="1"/>
  <c r="D95" i="1"/>
  <c r="D107" i="1" s="1"/>
  <c r="I94" i="1"/>
  <c r="I92" i="1" s="1"/>
  <c r="G94" i="1"/>
  <c r="H94" i="1" s="1"/>
  <c r="H92" i="1" s="1"/>
  <c r="F94" i="1"/>
  <c r="I93" i="1"/>
  <c r="G93" i="1"/>
  <c r="H93" i="1" s="1"/>
  <c r="F93" i="1"/>
  <c r="F92" i="1" s="1"/>
  <c r="F107" i="1" s="1"/>
  <c r="E92" i="1"/>
  <c r="D92" i="1"/>
  <c r="C89" i="1"/>
  <c r="H85" i="1"/>
  <c r="F85" i="1"/>
  <c r="D85" i="1"/>
  <c r="G61" i="1"/>
  <c r="G60" i="1"/>
  <c r="H55" i="1"/>
  <c r="F55" i="1"/>
  <c r="G32" i="1" s="1"/>
  <c r="H32" i="1" s="1"/>
  <c r="E55" i="1"/>
  <c r="F32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F35" i="1"/>
  <c r="F34" i="1" s="1"/>
  <c r="E35" i="1"/>
  <c r="H35" i="1" s="1"/>
  <c r="I34" i="1"/>
  <c r="G34" i="1"/>
  <c r="H34" i="1" s="1"/>
  <c r="D34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G29" i="1"/>
  <c r="F29" i="1"/>
  <c r="F27" i="1" s="1"/>
  <c r="I28" i="1"/>
  <c r="G28" i="1"/>
  <c r="H28" i="1" s="1"/>
  <c r="F28" i="1"/>
  <c r="E27" i="1"/>
  <c r="D27" i="1"/>
  <c r="D26" i="1" s="1"/>
  <c r="E26" i="1"/>
  <c r="I25" i="1"/>
  <c r="H25" i="1"/>
  <c r="G25" i="1"/>
  <c r="F25" i="1"/>
  <c r="I24" i="1"/>
  <c r="G24" i="1"/>
  <c r="G23" i="1" s="1"/>
  <c r="F24" i="1"/>
  <c r="F23" i="1" s="1"/>
  <c r="I23" i="1"/>
  <c r="E23" i="1"/>
  <c r="E44" i="1" s="1"/>
  <c r="D23" i="1"/>
  <c r="D44" i="1" s="1"/>
  <c r="H16" i="1"/>
  <c r="F16" i="1"/>
  <c r="D16" i="1"/>
  <c r="G150" i="1" l="1"/>
  <c r="H134" i="1"/>
  <c r="H133" i="1" s="1"/>
  <c r="I27" i="1"/>
  <c r="I26" i="1" s="1"/>
  <c r="I44" i="1" s="1"/>
  <c r="F150" i="1"/>
  <c r="F26" i="1"/>
  <c r="F44" i="1" s="1"/>
  <c r="F391" i="1"/>
  <c r="G391" i="1"/>
  <c r="H386" i="1"/>
  <c r="H391" i="1" s="1"/>
  <c r="G249" i="1"/>
  <c r="F253" i="1"/>
  <c r="H96" i="1"/>
  <c r="H95" i="1" s="1"/>
  <c r="F299" i="1"/>
  <c r="G299" i="1" s="1"/>
  <c r="G295" i="1"/>
  <c r="G253" i="1"/>
  <c r="G27" i="1"/>
  <c r="G26" i="1" s="1"/>
  <c r="G44" i="1" s="1"/>
  <c r="I150" i="1"/>
  <c r="G354" i="1"/>
  <c r="H107" i="1"/>
  <c r="F423" i="1"/>
  <c r="G423" i="1" s="1"/>
  <c r="G413" i="1"/>
  <c r="I107" i="1"/>
  <c r="H128" i="1"/>
  <c r="H184" i="1"/>
  <c r="G92" i="1"/>
  <c r="G107" i="1" s="1"/>
  <c r="H29" i="1"/>
  <c r="H27" i="1" s="1"/>
  <c r="H26" i="1" s="1"/>
  <c r="H24" i="1"/>
  <c r="H23" i="1" s="1"/>
  <c r="G55" i="1"/>
  <c r="G96" i="1"/>
  <c r="G95" i="1" s="1"/>
  <c r="G350" i="1"/>
  <c r="G175" i="1"/>
  <c r="H150" i="1" l="1"/>
  <c r="H44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<sst xmlns="http://schemas.openxmlformats.org/spreadsheetml/2006/main" count="359" uniqueCount="151">
  <si>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</si>
  <si>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</si>
  <si>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</si>
  <si>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</si>
  <si>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</si>
  <si>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</si>
  <si>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</si>
  <si>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</si>
  <si>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</si>
  <si>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</si>
  <si>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</si>
  <si>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</si>
  <si>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</si>
  <si>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</si>
  <si>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</si>
  <si>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</si>
  <si>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</si>
  <si>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</si>
  <si>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</si>
  <si>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</si>
  <si>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</si>
  <si>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</si>
  <si>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</si>
  <si>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</si>
  <si>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</si>
  <si>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</si>
  <si>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</si>
  <si>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</si>
  <si>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</si>
  <si>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</si>
  <si>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</si>
  <si>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</si>
  <si>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</si>
  <si>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</si>
  <si>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</si>
  <si>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</si>
  <si>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</si>
  <si>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</si>
  <si>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</si>
  <si>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</si>
  <si>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</si>
  <si>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</si>
  <si>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</si>
  <si>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</si>
  <si>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</si>
  <si>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</si>
  <si>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</si>
  <si>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</si>
  <si>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</si>
  <si>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</si>
  <si>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</si>
  <si>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</si>
  <si>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</si>
  <si>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</si>
  <si>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</si>
  <si>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</si>
  <si>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</si>
  <si>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</si>
  <si>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</si>
  <si>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</si>
  <si>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</si>
  <si>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</si>
  <si>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</si>
  <si>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</si>
  <si>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</si>
  <si>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</si>
  <si>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</si>
  <si>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</si>
  <si>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</si>
  <si>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</si>
  <si>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</si>
  <si>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</si>
  <si>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</si>
  <si>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</si>
  <si>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</si>
  <si>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</si>
  <si>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</si>
  <si>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</si>
  <si>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</si>
  <si>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</si>
  <si>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</si>
  <si>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</si>
  <si>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</si>
  <si>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</si>
  <si>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</si>
  <si>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</si>
  <si>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</si>
  <si>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</si>
  <si>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</si>
  <si>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</si>
  <si>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</si>
  <si>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</si>
  <si>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</si>
  <si>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</si>
  <si>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</si>
  <si>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</si>
  <si>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</si>
  <si>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</si>
  <si>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</si>
  <si>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</si>
  <si>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</si>
  <si>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</si>
  <si>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</si>
  <si>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</si>
  <si>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</si>
  <si>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</si>
  <si>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</si>
  <si>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</si>
  <si>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</si>
  <si>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</si>
  <si>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</si>
  <si>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</si>
  <si>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</si>
  <si>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</si>
  <si>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</si>
  <si>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</si>
  <si>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</si>
  <si>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</si>
  <si>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</si>
  <si>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</si>
  <si>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</si>
  <si>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</si>
  <si>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</si>
  <si>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</si>
  <si>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</si>
  <si>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</si>
  <si>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</si>
  <si>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</si>
  <si>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</si>
  <si>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</si>
  <si>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</si>
  <si>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</si>
  <si>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</si>
  <si>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</si>
  <si>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</si>
  <si>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</si>
  <si>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</si>
  <si>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</si>
  <si>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</si>
  <si>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</si>
  <si>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</si>
  <si>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</si>
  <si>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</si>
  <si>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60 tonn, men det legges til grunn at hele avsetningen tas</t>
  </si>
  <si>
    <t>4 Registrert rekreasjonsfiske utgjør 481 tonn, men det legges til grunn at hele avsetningen tas</t>
  </si>
  <si>
    <t>3 Registrert rekreasjonsfiske utgjør 860 tonn, men det legges til grunn at hele avsetningen tas</t>
  </si>
  <si>
    <t>FANGST UKE 36</t>
  </si>
  <si>
    <t>FANGST T.O.M UKE 36</t>
  </si>
  <si>
    <t>RESTKVOTER UKE 36</t>
  </si>
  <si>
    <t>FANGST T.O.M UKE 36 2023</t>
  </si>
  <si>
    <r>
      <t>3</t>
    </r>
    <r>
      <rPr>
        <sz val="9"/>
        <color indexed="8"/>
        <rFont val="Calibri"/>
        <family val="2"/>
      </rPr>
      <t xml:space="preserve"> Det er fisket 4 988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</si>
</sst>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411" zoomScale="85" zoomScaleNormal="85" zoomScaleSheetLayoutView="100" zoomScalePageLayoutView="85" workbookViewId="0">
      <selection activeCell="I421" sqref="I421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120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139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95.548500000000004</v>
      </c>
      <c r="G23" s="28">
        <f t="shared" si="0"/>
        <v>38739.532310000002</v>
      </c>
      <c r="H23" s="11">
        <f t="shared" si="0"/>
        <v>22072.467689999998</v>
      </c>
      <c r="I23" s="11">
        <f t="shared" si="0"/>
        <v>55727.83713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93.345</f>
        <v>93.344999999999999</v>
      </c>
      <c r="G24" s="23">
        <f>38210.97452</f>
        <v>38210.974520000003</v>
      </c>
      <c r="H24" s="23">
        <f>E24-G24</f>
        <v>21831.025479999997</v>
      </c>
      <c r="I24" s="23">
        <f>55340.47778</f>
        <v>55340.477780000001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2.2035</f>
        <v>2.2035</v>
      </c>
      <c r="G25" s="23">
        <f>528.55779</f>
        <v>528.55778999999995</v>
      </c>
      <c r="H25" s="23">
        <f>E25-G25</f>
        <v>241.44221000000005</v>
      </c>
      <c r="I25" s="23">
        <f>387.35935</f>
        <v>387.35935000000001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419.87810999999994</v>
      </c>
      <c r="G26" s="11">
        <f t="shared" si="1"/>
        <v>124067.47441</v>
      </c>
      <c r="H26" s="11">
        <f t="shared" si="1"/>
        <v>20806.525589999997</v>
      </c>
      <c r="I26" s="11">
        <f t="shared" si="1"/>
        <v>174489.30686000001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358.78693999999996</v>
      </c>
      <c r="G27" s="132">
        <f t="shared" ref="G27:I27" si="2">G28+G29+G30+G31+G32</f>
        <v>101038.32096</v>
      </c>
      <c r="H27" s="132">
        <f t="shared" si="2"/>
        <v>11939.679039999999</v>
      </c>
      <c r="I27" s="132">
        <f t="shared" si="2"/>
        <v>138432.44453000001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46.81285</f>
        <v>46.812849999999997</v>
      </c>
      <c r="G28" s="127">
        <f>26353.62734 - F56</f>
        <v>25778.627339999999</v>
      </c>
      <c r="H28" s="127">
        <f t="shared" ref="H28:H40" si="3">E28-G28</f>
        <v>2851.3726600000009</v>
      </c>
      <c r="I28" s="127">
        <f>37057.05483 - H56</f>
        <v>36418.054830000001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79.32476</f>
        <v>79.324759999999998</v>
      </c>
      <c r="G29" s="127">
        <f>28397.65751 - F57</f>
        <v>27524.657510000001</v>
      </c>
      <c r="H29" s="127">
        <f t="shared" si="3"/>
        <v>2140.3424899999991</v>
      </c>
      <c r="I29" s="127">
        <f>39098.71378 - H57</f>
        <v>37713.713779999998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31.99193</f>
        <v>31.99193</v>
      </c>
      <c r="G30" s="127">
        <f>26671.8521 - F58</f>
        <v>25545.8521</v>
      </c>
      <c r="H30" s="127">
        <f t="shared" si="3"/>
        <v>1698.1478999999999</v>
      </c>
      <c r="I30" s="127">
        <f>37168.92449 - H58</f>
        <v>34923.924489999998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50.6574</f>
        <v>50.657400000000003</v>
      </c>
      <c r="G31" s="127">
        <f>19615.18401 - F59</f>
        <v>18721.184010000001</v>
      </c>
      <c r="H31" s="127">
        <f t="shared" si="3"/>
        <v>617.81598999999915</v>
      </c>
      <c r="I31" s="127">
        <f>25107.75143 - H59</f>
        <v>24026.75143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150</v>
      </c>
      <c r="G32" s="127">
        <f>F55</f>
        <v>3468</v>
      </c>
      <c r="H32" s="127">
        <f t="shared" si="3"/>
        <v>4632</v>
      </c>
      <c r="I32" s="127">
        <f>H55</f>
        <v>5350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0.0472</f>
        <v>4.7199999999999999E-2</v>
      </c>
      <c r="G33" s="132">
        <f>10999.72564</f>
        <v>10999.725640000001</v>
      </c>
      <c r="H33" s="132">
        <f t="shared" si="3"/>
        <v>5859.2743599999994</v>
      </c>
      <c r="I33" s="132">
        <f>15810.08081</f>
        <v>15810.080809999999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61.043970000000002</v>
      </c>
      <c r="G34" s="132">
        <f>G35+G36</f>
        <v>12029.427809999999</v>
      </c>
      <c r="H34" s="132">
        <f t="shared" si="3"/>
        <v>3007.5721900000008</v>
      </c>
      <c r="I34" s="132">
        <f>I35+I36</f>
        <v>20246.78152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36.04397</f>
        <v>36.043970000000002</v>
      </c>
      <c r="G35" s="132">
        <f>14834.42781 - F60 - F61</f>
        <v>11643.427809999999</v>
      </c>
      <c r="H35" s="127">
        <f t="shared" si="3"/>
        <v>2433.5721900000008</v>
      </c>
      <c r="I35" s="127">
        <f>24612.78152 - H60 - H61</f>
        <v>19765.78152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25</v>
      </c>
      <c r="G36" s="71">
        <f>F60</f>
        <v>386</v>
      </c>
      <c r="H36" s="71">
        <f t="shared" si="3"/>
        <v>574</v>
      </c>
      <c r="I36" s="71">
        <f>H60</f>
        <v>481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0.101</f>
        <v>0.10100000000000001</v>
      </c>
      <c r="G38" s="98">
        <f>472.67923</f>
        <v>472.67923000000002</v>
      </c>
      <c r="H38" s="98">
        <f t="shared" si="3"/>
        <v>382.32076999999998</v>
      </c>
      <c r="I38" s="98">
        <f>488.24024</f>
        <v>488.24023999999997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E61</f>
        <v>16</v>
      </c>
      <c r="G39" s="98">
        <f>F61</f>
        <v>2805</v>
      </c>
      <c r="H39" s="98">
        <f t="shared" si="3"/>
        <v>195</v>
      </c>
      <c r="I39" s="98">
        <f>H61</f>
        <v>4366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1.21647</f>
        <v>1.2164699999999999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1.8293</f>
        <v>1.8292999999999999</v>
      </c>
      <c r="G41" s="98">
        <f>336.95886</f>
        <v>336.95886000000002</v>
      </c>
      <c r="H41" s="98">
        <f>E41-G41</f>
        <v>63.041139999999984</v>
      </c>
      <c r="I41" s="98">
        <f>353.88835</f>
        <v>353.88835</v>
      </c>
      <c r="J41" s="244"/>
    </row>
    <row r="42" spans="1:13" ht="17.25" customHeight="1" x14ac:dyDescent="0.3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0</f>
        <v>0</v>
      </c>
      <c r="G43" s="139">
        <f>101.67728</f>
        <v>101.67728</v>
      </c>
      <c r="H43" s="139">
        <f t="shared" ref="H43" si="4">E43-G43</f>
        <v>-101.67728</v>
      </c>
      <c r="I43" s="139">
        <f>107.02692</f>
        <v>107.02692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534.57337999999993</v>
      </c>
      <c r="G44" s="76">
        <f t="shared" si="5"/>
        <v>173871.68729000003</v>
      </c>
      <c r="H44" s="76">
        <f t="shared" si="5"/>
        <v>45169.312709999991</v>
      </c>
      <c r="I44" s="76">
        <f t="shared" si="5"/>
        <v>243279.09110000002</v>
      </c>
      <c r="J44" s="244"/>
    </row>
    <row r="45" spans="1:13" ht="14.15" customHeight="1" x14ac:dyDescent="0.3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146</v>
      </c>
      <c r="F54" s="68" t="s">
        <v>147</v>
      </c>
      <c r="G54" s="68" t="s">
        <v>148</v>
      </c>
      <c r="H54" s="68" t="s">
        <v>149</v>
      </c>
      <c r="I54" s="258"/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11">
        <f>E59+E58+E57+E56</f>
        <v>150</v>
      </c>
      <c r="F55" s="11">
        <f>F59+F58+F57+F56</f>
        <v>3468</v>
      </c>
      <c r="G55" s="295">
        <f>D55-F55</f>
        <v>4404</v>
      </c>
      <c r="H55" s="11">
        <f>H59+H58+H57+H56</f>
        <v>5350</v>
      </c>
      <c r="I55" s="258"/>
      <c r="J55" s="244"/>
    </row>
    <row r="56" spans="1:10" ht="14.15" customHeight="1" x14ac:dyDescent="0.35">
      <c r="A56" s="101"/>
      <c r="B56" s="24"/>
      <c r="C56" s="62" t="s">
        <v>24</v>
      </c>
      <c r="D56" s="296"/>
      <c r="E56" s="127">
        <v>39</v>
      </c>
      <c r="F56" s="127">
        <v>575</v>
      </c>
      <c r="G56" s="296"/>
      <c r="H56" s="127">
        <v>639</v>
      </c>
      <c r="I56" s="258"/>
      <c r="J56" s="244"/>
    </row>
    <row r="57" spans="1:10" ht="14.15" customHeight="1" x14ac:dyDescent="0.35">
      <c r="A57" s="101"/>
      <c r="B57" s="24"/>
      <c r="C57" s="62" t="s">
        <v>25</v>
      </c>
      <c r="D57" s="296"/>
      <c r="E57" s="127">
        <v>48</v>
      </c>
      <c r="F57" s="127">
        <v>873</v>
      </c>
      <c r="G57" s="296"/>
      <c r="H57" s="127">
        <v>1385</v>
      </c>
      <c r="I57" s="258"/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127">
        <v>22</v>
      </c>
      <c r="F58" s="127">
        <v>1126</v>
      </c>
      <c r="G58" s="296"/>
      <c r="H58" s="127">
        <v>2245</v>
      </c>
      <c r="I58" s="258"/>
      <c r="J58" s="244"/>
    </row>
    <row r="59" spans="1:10" ht="14.15" customHeight="1" x14ac:dyDescent="0.35">
      <c r="A59" s="101"/>
      <c r="B59" s="24"/>
      <c r="C59" s="87" t="s">
        <v>27</v>
      </c>
      <c r="D59" s="297"/>
      <c r="E59" s="192">
        <v>41</v>
      </c>
      <c r="F59" s="192">
        <v>894</v>
      </c>
      <c r="G59" s="297"/>
      <c r="H59" s="192">
        <v>1081</v>
      </c>
      <c r="I59" s="258"/>
      <c r="J59" s="244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25</v>
      </c>
      <c r="F60" s="95">
        <v>386</v>
      </c>
      <c r="G60" s="95">
        <f>D60-F60</f>
        <v>574</v>
      </c>
      <c r="H60" s="95">
        <v>481</v>
      </c>
      <c r="I60" s="258"/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16</v>
      </c>
      <c r="F61" s="139">
        <v>2805</v>
      </c>
      <c r="G61" s="139">
        <f>D61-F61</f>
        <v>195</v>
      </c>
      <c r="H61" s="139">
        <v>4366</v>
      </c>
      <c r="I61" s="258"/>
      <c r="J61" s="244"/>
    </row>
    <row r="62" spans="1:10" ht="14.15" customHeight="1" x14ac:dyDescent="0.3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13.781600000000001</v>
      </c>
      <c r="G92" s="11">
        <f t="shared" si="6"/>
        <v>23398.226119999999</v>
      </c>
      <c r="H92" s="11">
        <f t="shared" si="6"/>
        <v>2562.7738800000006</v>
      </c>
      <c r="I92" s="11">
        <f t="shared" si="6"/>
        <v>39391.0939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11.5206</f>
        <v>11.5206</v>
      </c>
      <c r="G93" s="23">
        <f>22606.41867</f>
        <v>22606.418669999999</v>
      </c>
      <c r="H93" s="23">
        <f>E93-G93</f>
        <v>2529.5813300000009</v>
      </c>
      <c r="I93" s="23">
        <f>38881.71951</f>
        <v>38881.719510000003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2.261</f>
        <v>2.2610000000000001</v>
      </c>
      <c r="G94" s="50">
        <f>791.80745</f>
        <v>791.80745000000002</v>
      </c>
      <c r="H94" s="50">
        <f>E94-G94</f>
        <v>33.192549999999983</v>
      </c>
      <c r="I94" s="50">
        <f>509.37439</f>
        <v>509.37439000000001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222.04839999999996</v>
      </c>
      <c r="G95" s="11">
        <f t="shared" si="7"/>
        <v>38823.225840000006</v>
      </c>
      <c r="H95" s="11">
        <f t="shared" si="7"/>
        <v>10170.774160000001</v>
      </c>
      <c r="I95" s="11">
        <f t="shared" si="7"/>
        <v>27989.405589999998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175.17947999999996</v>
      </c>
      <c r="G96" s="132">
        <f t="shared" si="8"/>
        <v>31336.593970000002</v>
      </c>
      <c r="H96" s="132">
        <f t="shared" si="8"/>
        <v>6157.4060299999992</v>
      </c>
      <c r="I96" s="132">
        <f t="shared" si="8"/>
        <v>20374.463129999996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86.74371</f>
        <v>86.743709999999993</v>
      </c>
      <c r="G97" s="127">
        <f>4763.9839</f>
        <v>4763.9839000000002</v>
      </c>
      <c r="H97" s="127">
        <f t="shared" ref="H97:H104" si="9">E97-G97</f>
        <v>5251.0160999999998</v>
      </c>
      <c r="I97" s="127">
        <f>3009.80276</f>
        <v>3009.80276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44.7316</f>
        <v>44.7316</v>
      </c>
      <c r="G98" s="127">
        <f>10350.46609</f>
        <v>10350.46609</v>
      </c>
      <c r="H98" s="127">
        <f t="shared" si="9"/>
        <v>263.53391000000011</v>
      </c>
      <c r="I98" s="127">
        <f>6011.3618</f>
        <v>6011.3617999999997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9.92779</f>
        <v>9.9277899999999999</v>
      </c>
      <c r="G99" s="127">
        <f>9644.12361</f>
        <v>9644.1236100000006</v>
      </c>
      <c r="H99" s="127">
        <f t="shared" si="9"/>
        <v>467.87638999999945</v>
      </c>
      <c r="I99" s="127">
        <f>6269.67767</f>
        <v>6269.67767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33.77638</f>
        <v>33.776380000000003</v>
      </c>
      <c r="G100" s="127">
        <f>6578.02037</f>
        <v>6578.0203700000002</v>
      </c>
      <c r="H100" s="127">
        <f t="shared" si="9"/>
        <v>174.97962999999982</v>
      </c>
      <c r="I100" s="127">
        <f>5083.6209</f>
        <v>5083.6208999999999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0.03078</f>
        <v>3.0779999999999998E-2</v>
      </c>
      <c r="G101" s="132">
        <f>5366.86082</f>
        <v>5366.8608199999999</v>
      </c>
      <c r="H101" s="132">
        <f t="shared" si="9"/>
        <v>2229.1391800000001</v>
      </c>
      <c r="I101" s="132">
        <f>6129.00415</f>
        <v>6129.0041499999998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46.83814</f>
        <v>46.838140000000003</v>
      </c>
      <c r="G102" s="75">
        <f>2119.77105</f>
        <v>2119.7710499999998</v>
      </c>
      <c r="H102" s="75">
        <f t="shared" si="9"/>
        <v>1784.2289500000002</v>
      </c>
      <c r="I102" s="75">
        <f>1485.93831</f>
        <v>1485.93831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36.10176</f>
        <v>36.101759999999999</v>
      </c>
      <c r="H103" s="98">
        <f t="shared" si="9"/>
        <v>282.89823999999999</v>
      </c>
      <c r="I103" s="98">
        <f>11.24867</f>
        <v>11.248670000000001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0.05436</f>
        <v>5.4359999999999999E-2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2.76818</f>
        <v>2.7681800000000001</v>
      </c>
      <c r="G105" s="98">
        <f>25.18984</f>
        <v>25.18984</v>
      </c>
      <c r="H105" s="139">
        <f>E105-G105</f>
        <v>24.81016</v>
      </c>
      <c r="I105" s="98">
        <f>7.3736</f>
        <v>7.3735999999999997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0.013</f>
        <v>1.2999999999999999E-2</v>
      </c>
      <c r="G106" s="139">
        <f>27.38808</f>
        <v>27.388079999999999</v>
      </c>
      <c r="H106" s="139">
        <f t="shared" ref="H106" si="10">E106-G106</f>
        <v>-27.388079999999999</v>
      </c>
      <c r="I106" s="139">
        <f>96.61676</f>
        <v>96.616759999999999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238.66553999999996</v>
      </c>
      <c r="G107" s="76">
        <f t="shared" si="12"/>
        <v>62610.13164</v>
      </c>
      <c r="H107" s="76">
        <f t="shared" si="12"/>
        <v>13013.868360000002</v>
      </c>
      <c r="I107" s="76">
        <f t="shared" si="12"/>
        <v>67795.738520000014</v>
      </c>
      <c r="J107" s="244"/>
    </row>
    <row r="108" spans="1:10" ht="13.5" customHeight="1" x14ac:dyDescent="0.3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3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725.13049999999998</v>
      </c>
      <c r="G128" s="11">
        <f t="shared" si="13"/>
        <v>43849.522130000005</v>
      </c>
      <c r="H128" s="11">
        <f t="shared" si="13"/>
        <v>28457.477869999999</v>
      </c>
      <c r="I128" s="11">
        <f t="shared" si="13"/>
        <v>46966.435249999995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125.97485</f>
        <v>125.97485</v>
      </c>
      <c r="G129" s="23">
        <f>38416.46747</f>
        <v>38416.467470000003</v>
      </c>
      <c r="H129" s="23">
        <f>E129-G129</f>
        <v>19145.532529999997</v>
      </c>
      <c r="I129" s="23">
        <f>41403.78335</f>
        <v>41403.783349999998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599.15565</f>
        <v>599.15565000000004</v>
      </c>
      <c r="G130" s="23">
        <f>5367.32751</f>
        <v>5367.3275100000001</v>
      </c>
      <c r="H130" s="23">
        <f>E130-G130</f>
        <v>8877.6724900000008</v>
      </c>
      <c r="I130" s="23">
        <f>5445.40885</f>
        <v>5445.4088499999998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65.72715</f>
        <v>65.727149999999995</v>
      </c>
      <c r="H131" s="55">
        <f>E131-G131</f>
        <v>434.27285000000001</v>
      </c>
      <c r="I131" s="23">
        <f>117.24305</f>
        <v>117.24305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571.2558</f>
        <v>571.25580000000002</v>
      </c>
      <c r="G132" s="95">
        <f>15353.1278+4988.15403</f>
        <v>20341.28183</v>
      </c>
      <c r="H132" s="95">
        <f>E132-G132</f>
        <v>32154.71817</v>
      </c>
      <c r="I132" s="95">
        <f>37933.81518</f>
        <v>37933.815179999998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825.54496000000006</v>
      </c>
      <c r="G133" s="94">
        <f t="shared" ref="G133" si="14">G134+G139+G142</f>
        <v>53682.452460000008</v>
      </c>
      <c r="H133" s="94">
        <f>H134+H139+H142</f>
        <v>26482.54754</v>
      </c>
      <c r="I133" s="94">
        <f>I134+I139+I142</f>
        <v>62552.232319999996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652.23685</v>
      </c>
      <c r="G134" s="125">
        <f>G135+G136+G138+G137</f>
        <v>39542.464860000007</v>
      </c>
      <c r="H134" s="125">
        <f>H135+H136+H137+H138</f>
        <v>19536.53514</v>
      </c>
      <c r="I134" s="125">
        <f>I135+I136+I137+I138</f>
        <v>49639.765099999997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288.41546</f>
        <v>288.41546</v>
      </c>
      <c r="G135" s="127">
        <v>8697.9750499999991</v>
      </c>
      <c r="H135" s="127">
        <f>E135-G135</f>
        <v>9076.0249500000009</v>
      </c>
      <c r="I135" s="127">
        <f>7694.28302</f>
        <v>7694.2830199999999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159.62917</f>
        <v>159.62916999999999</v>
      </c>
      <c r="G136" s="127">
        <v>11680.938815000001</v>
      </c>
      <c r="H136" s="127">
        <f>E136-G136</f>
        <v>3258.0611849999987</v>
      </c>
      <c r="I136" s="127">
        <f>12846.34506</f>
        <v>12846.34506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14.83174</f>
        <v>14.83174</v>
      </c>
      <c r="G137" s="127">
        <v>9745.2670749999997</v>
      </c>
      <c r="H137" s="127">
        <f>E137-G137</f>
        <v>3305.7329250000003</v>
      </c>
      <c r="I137" s="127">
        <f>16054.99665</f>
        <v>16054.996649999999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189.36048</f>
        <v>189.36048</v>
      </c>
      <c r="G138" s="127">
        <v>9418.2839199999999</v>
      </c>
      <c r="H138" s="127">
        <f>E138-G138</f>
        <v>3896.7160800000001</v>
      </c>
      <c r="I138" s="127">
        <f>13044.14037</f>
        <v>13044.140369999999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0.26879999999999998</v>
      </c>
      <c r="G139" s="132">
        <f>SUM(G140:G141)</f>
        <v>8889.2328699999998</v>
      </c>
      <c r="H139" s="132">
        <f>H140+H141</f>
        <v>40.76713000000035</v>
      </c>
      <c r="I139" s="132">
        <f>SUM(I140:I141)</f>
        <v>6942.3552100000006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8461.14568</f>
        <v>8461.1456799999996</v>
      </c>
      <c r="H140" s="127">
        <f t="shared" ref="H140:H148" si="15">E140-G140</f>
        <v>-31.145679999999629</v>
      </c>
      <c r="I140" s="127">
        <f>6707.8154</f>
        <v>6707.8154000000004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0.2688</f>
        <v>0.26879999999999998</v>
      </c>
      <c r="G141" s="127">
        <f>428.08719</f>
        <v>428.08719000000002</v>
      </c>
      <c r="H141" s="127">
        <f t="shared" si="15"/>
        <v>71.912809999999979</v>
      </c>
      <c r="I141" s="127">
        <f>234.53981</f>
        <v>234.53980999999999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173.03931</f>
        <v>173.03931</v>
      </c>
      <c r="G142" s="75">
        <f>5250.75473</f>
        <v>5250.7547299999997</v>
      </c>
      <c r="H142" s="75">
        <f t="shared" si="15"/>
        <v>6905.2452700000003</v>
      </c>
      <c r="I142" s="75">
        <f>5970.11201</f>
        <v>5970.1120099999998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30.99685</f>
        <v>30.996849999999998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5.85655</f>
        <v>5.8565500000000004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0</f>
        <v>0</v>
      </c>
      <c r="G147" s="98">
        <f>45.40311</f>
        <v>45.403109999999998</v>
      </c>
      <c r="H147" s="139">
        <f t="shared" si="15"/>
        <v>230.59689</v>
      </c>
      <c r="I147" s="98">
        <f>27.66543</f>
        <v>27.665430000000001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1.233</f>
        <v>1.2330000000000001</v>
      </c>
      <c r="G148" s="139">
        <f>116.63064</f>
        <v>116.63064</v>
      </c>
      <c r="H148" s="139">
        <f t="shared" si="15"/>
        <v>-116.63064</v>
      </c>
      <c r="I148" s="139">
        <f>103.44793</f>
        <v>103.44793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2129.0208100000004</v>
      </c>
      <c r="G150" s="76">
        <f>G128+G132+G133+G143+G144+G145+G146+G147+G148</f>
        <v>120307.03872000001</v>
      </c>
      <c r="H150" s="76">
        <f>H128+H132+H133+H143+H144+H145+H146+H147+H148</f>
        <v>87332.961280000003</v>
      </c>
      <c r="I150" s="76">
        <f>I128+I132+I133+I143+I144+I145+I146+I147+I148</f>
        <v>149877.17395999996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0.46206</f>
        <v>0.46206000000000003</v>
      </c>
      <c r="F175" s="276">
        <f>854.8339</f>
        <v>854.83389999999997</v>
      </c>
      <c r="G175" s="43">
        <f>D175-F175-F176</f>
        <v>1991.89419</v>
      </c>
      <c r="H175" s="276">
        <f>1415.20371</f>
        <v>1415.20371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1376.27191</f>
        <v>1376.2719099999999</v>
      </c>
      <c r="G176" s="217"/>
      <c r="H176" s="152">
        <f>1677.92714</f>
        <v>1677.92714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88.90728</f>
        <v>88.90728</v>
      </c>
      <c r="G177" s="172">
        <f>D177-F177</f>
        <v>111.09272</v>
      </c>
      <c r="H177" s="172">
        <f>74.61014</f>
        <v>74.610140000000001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16.346</v>
      </c>
      <c r="F178" s="181">
        <f>F179+F180+F181</f>
        <v>5909.8036899999988</v>
      </c>
      <c r="G178" s="181">
        <f>D178-F178</f>
        <v>424.19631000000118</v>
      </c>
      <c r="H178" s="181">
        <f>H179+H180+H181</f>
        <v>7938.3217199999999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3.1638</f>
        <v>3.1638000000000002</v>
      </c>
      <c r="F179" s="127">
        <f>3082.8718</f>
        <v>3082.8717999999999</v>
      </c>
      <c r="G179" s="127"/>
      <c r="H179" s="127">
        <f>4149.50025</f>
        <v>4149.5002500000001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7.75736</f>
        <v>7.7573600000000003</v>
      </c>
      <c r="F180" s="127">
        <f>1788.5573</f>
        <v>1788.5572999999999</v>
      </c>
      <c r="G180" s="127"/>
      <c r="H180" s="127">
        <f>2399.95936</f>
        <v>2399.9593599999998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5.42484</f>
        <v>5.4248399999999997</v>
      </c>
      <c r="F181" s="192">
        <f>1038.37459</f>
        <v>1038.3745899999999</v>
      </c>
      <c r="G181" s="192"/>
      <c r="H181" s="192">
        <f>1388.86211</f>
        <v>1388.86211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16.808060000000001</v>
      </c>
      <c r="F184" s="194">
        <f>F175+F176+F177+F178+F182+F183</f>
        <v>8229.8167799999992</v>
      </c>
      <c r="G184" s="194">
        <f>D184-F184</f>
        <v>2593.1832200000008</v>
      </c>
      <c r="H184" s="194">
        <f>H175+H176+H177+H178+H182+H183</f>
        <v>11106.06271</v>
      </c>
      <c r="I184" s="163"/>
      <c r="J184" s="160"/>
    </row>
    <row r="185" spans="1:10" ht="42" customHeight="1" x14ac:dyDescent="0.3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3.64182</f>
        <v>3.6418200000000001</v>
      </c>
      <c r="F204" s="124">
        <f>38848.14019</f>
        <v>38848.140189999998</v>
      </c>
      <c r="G204" s="124">
        <f>D204-F204</f>
        <v>7433.8598100000017</v>
      </c>
      <c r="H204" s="124">
        <f>39605.29145</f>
        <v>39605.291449999997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0.179</f>
        <v>0.17899999999999999</v>
      </c>
      <c r="F205" s="124">
        <f>38.65156</f>
        <v>38.651560000000003</v>
      </c>
      <c r="G205" s="124">
        <f>D205-F205</f>
        <v>61.348439999999997</v>
      </c>
      <c r="H205" s="124">
        <f>57.20155</f>
        <v>57.201549999999997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3.8208199999999999</v>
      </c>
      <c r="F207" s="190">
        <f>SUM(F204:F206)</f>
        <v>38886.791749999997</v>
      </c>
      <c r="G207" s="190">
        <f>D207-F207</f>
        <v>7531.2082500000033</v>
      </c>
      <c r="H207" s="190">
        <f>SUM(H204:H206)</f>
        <v>39662.492999999995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123</v>
      </c>
      <c r="D249" s="124">
        <v>3987</v>
      </c>
      <c r="E249" s="75">
        <f>E250+E251</f>
        <v>2.4169</v>
      </c>
      <c r="F249" s="75">
        <f>F250+F251</f>
        <v>3864.7276899999997</v>
      </c>
      <c r="G249" s="75">
        <f>D249-F249</f>
        <v>122.27231000000029</v>
      </c>
      <c r="H249" s="75">
        <f>H250+H251</f>
        <v>3889.8935099999999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0.138</f>
        <v>0.13800000000000001</v>
      </c>
      <c r="F250" s="75">
        <f>3340.51187</f>
        <v>3340.5118699999998</v>
      </c>
      <c r="G250" s="75"/>
      <c r="H250" s="75">
        <f>3364.7387</f>
        <v>3364.7386999999999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2.2789</f>
        <v>2.2789000000000001</v>
      </c>
      <c r="F251" s="124">
        <f>524.21582</f>
        <v>524.21582000000001</v>
      </c>
      <c r="G251" s="168"/>
      <c r="H251" s="124">
        <f>525.15481</f>
        <v>525.15481</v>
      </c>
      <c r="I251" s="248"/>
      <c r="J251" s="120"/>
    </row>
    <row r="252" spans="1:10" ht="15" customHeight="1" x14ac:dyDescent="0.35">
      <c r="A252" s="1"/>
      <c r="B252" s="254"/>
      <c r="C252" s="90" t="s">
        <v>124</v>
      </c>
      <c r="D252" s="124">
        <v>4613</v>
      </c>
      <c r="E252" s="75">
        <f>48.30346</f>
        <v>48.303460000000001</v>
      </c>
      <c r="F252" s="75">
        <f>5074.69011</f>
        <v>5074.6901099999995</v>
      </c>
      <c r="G252" s="75">
        <f>D252-F252</f>
        <v>-461.69010999999955</v>
      </c>
      <c r="H252" s="75">
        <f>4895.21769</f>
        <v>4895.2176900000004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50.720359999999999</v>
      </c>
      <c r="F253" s="190">
        <f>SUM(F249,F252)</f>
        <v>8939.4177999999993</v>
      </c>
      <c r="G253" s="190">
        <f>D253-F253</f>
        <v>-339.41779999999926</v>
      </c>
      <c r="H253" s="190">
        <f>SUM(H249,H252)</f>
        <v>8785.1111999999994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123</v>
      </c>
      <c r="D295" s="124">
        <v>5090</v>
      </c>
      <c r="E295" s="75">
        <f>E296+E297</f>
        <v>1.3474999999999999</v>
      </c>
      <c r="F295" s="75">
        <f>F296+F297</f>
        <v>4765.0338999999994</v>
      </c>
      <c r="G295" s="75">
        <f>D295-F295</f>
        <v>324.96610000000055</v>
      </c>
      <c r="H295" s="75">
        <f>H296+H297</f>
        <v>5621.9455399999997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0.0732</f>
        <v>7.3200000000000001E-2</v>
      </c>
      <c r="F296" s="75">
        <f>4310.23381</f>
        <v>4310.2338099999997</v>
      </c>
      <c r="G296" s="75"/>
      <c r="H296" s="75">
        <f>5202.62281</f>
        <v>5202.6228099999998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1.2743</f>
        <v>1.2743</v>
      </c>
      <c r="F297" s="124">
        <f>454.80009</f>
        <v>454.80009000000001</v>
      </c>
      <c r="G297" s="168"/>
      <c r="H297" s="124">
        <f>419.32273</f>
        <v>419.32272999999998</v>
      </c>
      <c r="I297" s="248"/>
      <c r="J297" s="120"/>
    </row>
    <row r="298" spans="1:10" ht="15" customHeight="1" x14ac:dyDescent="0.35">
      <c r="A298" s="1"/>
      <c r="B298" s="254"/>
      <c r="C298" s="90" t="s">
        <v>124</v>
      </c>
      <c r="D298" s="124">
        <v>2981</v>
      </c>
      <c r="E298" s="75">
        <f>47.33435</f>
        <v>47.334350000000001</v>
      </c>
      <c r="F298" s="75">
        <f>2425.03294</f>
        <v>2425.0329400000001</v>
      </c>
      <c r="G298" s="75">
        <f>D298-F298</f>
        <v>555.96705999999995</v>
      </c>
      <c r="H298" s="75">
        <f>2982.3514</f>
        <v>2982.3514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48.681849999999997</v>
      </c>
      <c r="F299" s="190">
        <f>SUM(F295,F298)</f>
        <v>7190.0668399999995</v>
      </c>
      <c r="G299" s="190">
        <f>D299-F299</f>
        <v>880.9331600000005</v>
      </c>
      <c r="H299" s="190">
        <f>SUM(H295,H298)</f>
        <v>8604.2969400000002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3.20936</f>
        <v>3.2093600000000002</v>
      </c>
      <c r="F350" s="124">
        <f>489.27343</f>
        <v>489.27343000000002</v>
      </c>
      <c r="G350" s="124">
        <f>D350-F350</f>
        <v>310.72656999999998</v>
      </c>
      <c r="H350" s="124">
        <f>469.42881</f>
        <v>469.42881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25.06636</f>
        <v>25.06636</v>
      </c>
      <c r="F351" s="124">
        <f>1996.47383</f>
        <v>1996.4738299999999</v>
      </c>
      <c r="G351" s="124">
        <f>D351-F351</f>
        <v>1044.5261700000001</v>
      </c>
      <c r="H351" s="124">
        <f>2377.34971</f>
        <v>2377.34971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1.7076</f>
        <v>1.7076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28.27572</v>
      </c>
      <c r="F354" s="190">
        <f>SUM(F350:F353)</f>
        <v>2489.4478800000002</v>
      </c>
      <c r="G354" s="190">
        <f>D354-F354</f>
        <v>1361.5521199999998</v>
      </c>
      <c r="H354" s="190">
        <f>H350+H351+H352+H353</f>
        <v>2851.2248599999998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115</v>
      </c>
    </row>
    <row r="358" spans="1:10" ht="14.15" customHeight="1" x14ac:dyDescent="0.35">
      <c r="A358" s="1" t="s">
        <v>115</v>
      </c>
    </row>
    <row r="359" spans="1:10" ht="14.15" customHeight="1" x14ac:dyDescent="0.35">
      <c r="A359" s="1" t="s">
        <v>115</v>
      </c>
    </row>
    <row r="360" spans="1:10" ht="14.15" customHeight="1" x14ac:dyDescent="0.35">
      <c r="A360" s="1"/>
      <c r="C360" s="150" t="s">
        <v>115</v>
      </c>
    </row>
    <row r="361" spans="1:10" x14ac:dyDescent="0.35">
      <c r="A361" s="1"/>
      <c r="C361" s="150" t="s">
        <v>115</v>
      </c>
    </row>
    <row r="362" spans="1:10" ht="14.15" customHeight="1" x14ac:dyDescent="0.35">
      <c r="A362" s="1"/>
      <c r="C362" s="150" t="s">
        <v>115</v>
      </c>
    </row>
    <row r="363" spans="1:10" ht="14.15" customHeight="1" x14ac:dyDescent="0.35">
      <c r="A363" s="1"/>
      <c r="C363" s="150" t="s">
        <v>115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142.15657999999999</v>
      </c>
      <c r="G380" s="253">
        <f t="shared" si="17"/>
        <v>12837.290229999999</v>
      </c>
      <c r="H380" s="253">
        <f>H384+H383+H382+H381</f>
        <v>10131.709770000001</v>
      </c>
      <c r="I380" s="253">
        <f t="shared" si="17"/>
        <v>12573.846150000001</v>
      </c>
      <c r="J380" s="130"/>
    </row>
    <row r="381" spans="1:10" ht="14.15" customHeight="1" x14ac:dyDescent="0.35">
      <c r="A381" s="218"/>
      <c r="B381" s="72"/>
      <c r="C381" s="255" t="s">
        <v>104</v>
      </c>
      <c r="D381" s="256">
        <v>12051</v>
      </c>
      <c r="E381" s="256">
        <v>13190</v>
      </c>
      <c r="F381" s="257">
        <f>0</f>
        <v>0</v>
      </c>
      <c r="G381" s="257">
        <f>7284.61168</f>
        <v>7284.61168</v>
      </c>
      <c r="H381" s="257">
        <f t="shared" ref="H381:H385" si="18">E381-G381</f>
        <v>5905.38832</v>
      </c>
      <c r="I381" s="257">
        <f>7005.24966</f>
        <v>7005.2496600000004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96.5628</f>
        <v>96.562799999999996</v>
      </c>
      <c r="G382" s="257">
        <f>1639.35901</f>
        <v>1639.3590099999999</v>
      </c>
      <c r="H382" s="257">
        <f t="shared" si="18"/>
        <v>1793.6409900000001</v>
      </c>
      <c r="I382" s="257">
        <f>1238.34555</f>
        <v>1238.34555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29.35778</f>
        <v>29.357780000000002</v>
      </c>
      <c r="G383" s="257">
        <f>1663.23508</f>
        <v>1663.2350799999999</v>
      </c>
      <c r="H383" s="257">
        <f t="shared" si="18"/>
        <v>-180.23507999999993</v>
      </c>
      <c r="I383" s="257">
        <f>1660.08344</f>
        <v>1660.0834400000001</v>
      </c>
      <c r="J383" s="130"/>
    </row>
    <row r="384" spans="1:10" ht="14.15" customHeight="1" x14ac:dyDescent="0.35">
      <c r="A384" s="218"/>
      <c r="B384" s="72"/>
      <c r="C384" s="262" t="s">
        <v>105</v>
      </c>
      <c r="D384" s="263">
        <v>4867</v>
      </c>
      <c r="E384" s="263">
        <v>4863</v>
      </c>
      <c r="F384" s="257">
        <f>16.236</f>
        <v>16.236000000000001</v>
      </c>
      <c r="G384" s="257">
        <f>2250.08446</f>
        <v>2250.08446</v>
      </c>
      <c r="H384" s="257">
        <f t="shared" si="18"/>
        <v>2612.91554</v>
      </c>
      <c r="I384" s="257">
        <f>2670.1675</f>
        <v>2670.1675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</f>
        <v>0</v>
      </c>
      <c r="G385" s="268">
        <f>2145.14078</f>
        <v>2145.1407800000002</v>
      </c>
      <c r="H385" s="268">
        <f t="shared" si="18"/>
        <v>3354.8592199999998</v>
      </c>
      <c r="I385" s="268">
        <f>5106.92928</f>
        <v>5106.9292800000003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86.438040000000001</v>
      </c>
      <c r="G386" s="269">
        <f>G388+G387</f>
        <v>2662.6622500000003</v>
      </c>
      <c r="H386" s="269">
        <f>E386-G386</f>
        <v>5337.3377499999997</v>
      </c>
      <c r="I386" s="269">
        <f>I388+I387</f>
        <v>3344.7256400000001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0.8844</f>
        <v>0.88439999999999996</v>
      </c>
      <c r="G387" s="257">
        <f>765.28458</f>
        <v>765.28458000000001</v>
      </c>
      <c r="H387" s="257"/>
      <c r="I387" s="257">
        <f>845.83358</f>
        <v>845.83357999999998</v>
      </c>
      <c r="J387" s="130"/>
    </row>
    <row r="388" spans="1:10" ht="14.15" customHeight="1" x14ac:dyDescent="0.35">
      <c r="A388" s="218"/>
      <c r="B388" s="72"/>
      <c r="C388" s="273" t="s">
        <v>106</v>
      </c>
      <c r="D388" s="274"/>
      <c r="E388" s="277"/>
      <c r="F388" s="278">
        <f>85.55364</f>
        <v>85.553640000000001</v>
      </c>
      <c r="G388" s="278">
        <f>1897.37767</f>
        <v>1897.3776700000001</v>
      </c>
      <c r="H388" s="278"/>
      <c r="I388" s="278">
        <f>2498.89206</f>
        <v>2498.8920600000001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5" customHeight="1" x14ac:dyDescent="0.35">
      <c r="A390" s="218"/>
      <c r="B390" s="72"/>
      <c r="C390" s="279" t="s">
        <v>107</v>
      </c>
      <c r="D390" s="282"/>
      <c r="E390" s="283"/>
      <c r="F390" s="268">
        <f>0.09203</f>
        <v>9.2030000000000001E-2</v>
      </c>
      <c r="G390" s="268">
        <f>102.93211</f>
        <v>102.93210999999999</v>
      </c>
      <c r="H390" s="268">
        <f>E390-G390</f>
        <v>-102.93210999999999</v>
      </c>
      <c r="I390" s="268">
        <f>115.37678</f>
        <v>115.37678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228.68664999999999</v>
      </c>
      <c r="G391" s="287">
        <f t="shared" si="19"/>
        <v>17748.141769999998</v>
      </c>
      <c r="H391" s="287">
        <f>H380+H385+H386+H389+H390</f>
        <v>18733.858230000002</v>
      </c>
      <c r="I391" s="287">
        <f t="shared" si="19"/>
        <v>21140.951349999999</v>
      </c>
      <c r="J391" s="130"/>
    </row>
    <row r="392" spans="1:10" ht="14.15" customHeight="1" x14ac:dyDescent="0.3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115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142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112</v>
      </c>
      <c r="D413" s="204">
        <v>894</v>
      </c>
      <c r="E413" s="26">
        <f>SUM(E414:E415)</f>
        <v>57.331000000000003</v>
      </c>
      <c r="F413" s="26">
        <f>SUM(F414:F415)</f>
        <v>678.70708000000002</v>
      </c>
      <c r="G413" s="85">
        <f>D413-F413</f>
        <v>215.29291999999998</v>
      </c>
      <c r="H413" s="26">
        <f>SUM(H414:H415)</f>
        <v>647.19650000000001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44.2265</f>
        <v>44.226500000000001</v>
      </c>
      <c r="F414" s="205">
        <f>527.84108</f>
        <v>527.84108000000003</v>
      </c>
      <c r="G414" s="206"/>
      <c r="H414" s="205">
        <f>499.5146</f>
        <v>499.51459999999997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13.1045</f>
        <v>13.1045</v>
      </c>
      <c r="F415" s="208">
        <f>150.866</f>
        <v>150.86600000000001</v>
      </c>
      <c r="G415" s="209"/>
      <c r="H415" s="208">
        <f>147.6819</f>
        <v>147.68190000000001</v>
      </c>
      <c r="I415" s="150"/>
      <c r="J415" s="130"/>
    </row>
    <row r="416" spans="1:10" ht="14.15" customHeight="1" x14ac:dyDescent="0.3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5" customHeight="1" x14ac:dyDescent="0.3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57.331000000000003</v>
      </c>
      <c r="F423" s="40">
        <f>F413+F416+F419+F422</f>
        <v>678.70708000000002</v>
      </c>
      <c r="G423" s="41">
        <f>D423-F423</f>
        <v>2002.2929199999999</v>
      </c>
      <c r="H423" s="40">
        <f>H413+H416+H419+H422</f>
        <v>647.19650000000001</v>
      </c>
      <c r="I423" s="27"/>
      <c r="J423" s="130"/>
    </row>
    <row r="424" spans="1:10" ht="42" customHeight="1" x14ac:dyDescent="0.35">
      <c r="A424" s="218"/>
      <c r="B424" s="72"/>
      <c r="C424" s="292" t="s">
        <v>119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4">
    <mergeCell ref="C17:H17"/>
    <mergeCell ref="B2:J2"/>
    <mergeCell ref="B9:J9"/>
    <mergeCell ref="C11:D11"/>
    <mergeCell ref="E11:F11"/>
    <mergeCell ref="G11:H11"/>
    <mergeCell ref="C424:J424"/>
    <mergeCell ref="C52:H52"/>
    <mergeCell ref="D55:D59"/>
    <mergeCell ref="G55:G59"/>
    <mergeCell ref="C81:D81"/>
    <mergeCell ref="E81:F81"/>
    <mergeCell ref="G81:H81"/>
    <mergeCell ref="C407:F407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36&amp;R09.09.2024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2024-09-09T08:03:55Z</dcterms:modified>
</cp:coreProperties>
</file>