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D31D1137-4AA3-4A15-9CFD-300C1DC710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F36" i="1"/>
  <c r="H422" i="1"/>
  <c r="G422" i="1"/>
  <c r="F422" i="1"/>
  <c r="E422" i="1"/>
  <c r="H421" i="1"/>
  <c r="F421" i="1"/>
  <c r="E421" i="1"/>
  <c r="H420" i="1"/>
  <c r="F420" i="1"/>
  <c r="E420" i="1"/>
  <c r="H419" i="1"/>
  <c r="H423" i="1" s="1"/>
  <c r="G419" i="1"/>
  <c r="F419" i="1"/>
  <c r="E419" i="1"/>
  <c r="H418" i="1"/>
  <c r="F418" i="1"/>
  <c r="E418" i="1"/>
  <c r="H417" i="1"/>
  <c r="F417" i="1"/>
  <c r="E417" i="1"/>
  <c r="H416" i="1"/>
  <c r="G416" i="1"/>
  <c r="F416" i="1"/>
  <c r="E416" i="1"/>
  <c r="H415" i="1"/>
  <c r="F415" i="1"/>
  <c r="E415" i="1"/>
  <c r="H414" i="1"/>
  <c r="F414" i="1"/>
  <c r="E414" i="1"/>
  <c r="H413" i="1"/>
  <c r="G413" i="1"/>
  <c r="F413" i="1"/>
  <c r="F423" i="1" s="1"/>
  <c r="E413" i="1"/>
  <c r="E423" i="1" s="1"/>
  <c r="G391" i="1"/>
  <c r="D391" i="1"/>
  <c r="I390" i="1"/>
  <c r="H390" i="1"/>
  <c r="G390" i="1"/>
  <c r="F390" i="1"/>
  <c r="I389" i="1"/>
  <c r="H389" i="1"/>
  <c r="G389" i="1"/>
  <c r="F389" i="1"/>
  <c r="I388" i="1"/>
  <c r="G388" i="1"/>
  <c r="F388" i="1"/>
  <c r="I387" i="1"/>
  <c r="G387" i="1"/>
  <c r="F387" i="1"/>
  <c r="I386" i="1"/>
  <c r="I391" i="1" s="1"/>
  <c r="G386" i="1"/>
  <c r="H386" i="1" s="1"/>
  <c r="H391" i="1" s="1"/>
  <c r="F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H380" i="1"/>
  <c r="G380" i="1"/>
  <c r="F380" i="1"/>
  <c r="F391" i="1" s="1"/>
  <c r="D380" i="1"/>
  <c r="H372" i="1"/>
  <c r="F372" i="1"/>
  <c r="H354" i="1"/>
  <c r="G354" i="1"/>
  <c r="F354" i="1"/>
  <c r="E354" i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D343" i="1"/>
  <c r="H299" i="1"/>
  <c r="F299" i="1"/>
  <c r="G299" i="1" s="1"/>
  <c r="E299" i="1"/>
  <c r="D299" i="1"/>
  <c r="H298" i="1"/>
  <c r="G298" i="1"/>
  <c r="F298" i="1"/>
  <c r="E298" i="1"/>
  <c r="H297" i="1"/>
  <c r="F297" i="1"/>
  <c r="E297" i="1"/>
  <c r="H296" i="1"/>
  <c r="F296" i="1"/>
  <c r="E296" i="1"/>
  <c r="H295" i="1"/>
  <c r="F295" i="1"/>
  <c r="G295" i="1" s="1"/>
  <c r="E295" i="1"/>
  <c r="H253" i="1"/>
  <c r="F253" i="1"/>
  <c r="G253" i="1" s="1"/>
  <c r="E253" i="1"/>
  <c r="D253" i="1"/>
  <c r="H252" i="1"/>
  <c r="G252" i="1"/>
  <c r="F252" i="1"/>
  <c r="E252" i="1"/>
  <c r="H251" i="1"/>
  <c r="F251" i="1"/>
  <c r="E251" i="1"/>
  <c r="H250" i="1"/>
  <c r="F250" i="1"/>
  <c r="E250" i="1"/>
  <c r="H249" i="1"/>
  <c r="G249" i="1"/>
  <c r="F249" i="1"/>
  <c r="E249" i="1"/>
  <c r="H207" i="1"/>
  <c r="G207" i="1"/>
  <c r="F207" i="1"/>
  <c r="E207" i="1"/>
  <c r="D207" i="1"/>
  <c r="H206" i="1"/>
  <c r="G206" i="1"/>
  <c r="F206" i="1"/>
  <c r="E206" i="1"/>
  <c r="H205" i="1"/>
  <c r="G205" i="1"/>
  <c r="F205" i="1"/>
  <c r="E205" i="1"/>
  <c r="H204" i="1"/>
  <c r="G204" i="1"/>
  <c r="F204" i="1"/>
  <c r="E204" i="1"/>
  <c r="F184" i="1"/>
  <c r="G184" i="1" s="1"/>
  <c r="E184" i="1"/>
  <c r="D184" i="1"/>
  <c r="H183" i="1"/>
  <c r="G183" i="1"/>
  <c r="F183" i="1"/>
  <c r="E183" i="1"/>
  <c r="H182" i="1"/>
  <c r="G182" i="1"/>
  <c r="F182" i="1"/>
  <c r="E182" i="1"/>
  <c r="H181" i="1"/>
  <c r="F181" i="1"/>
  <c r="E181" i="1"/>
  <c r="H180" i="1"/>
  <c r="F180" i="1"/>
  <c r="E180" i="1"/>
  <c r="H179" i="1"/>
  <c r="F179" i="1"/>
  <c r="E179" i="1"/>
  <c r="H178" i="1"/>
  <c r="H184" i="1" s="1"/>
  <c r="G178" i="1"/>
  <c r="F178" i="1"/>
  <c r="E178" i="1"/>
  <c r="H177" i="1"/>
  <c r="G177" i="1"/>
  <c r="F177" i="1"/>
  <c r="E177" i="1"/>
  <c r="H176" i="1"/>
  <c r="F176" i="1"/>
  <c r="E176" i="1"/>
  <c r="H175" i="1"/>
  <c r="G175" i="1"/>
  <c r="F175" i="1"/>
  <c r="E175" i="1"/>
  <c r="D169" i="1"/>
  <c r="D167" i="1"/>
  <c r="E150" i="1"/>
  <c r="I148" i="1"/>
  <c r="H148" i="1"/>
  <c r="G148" i="1"/>
  <c r="F148" i="1"/>
  <c r="I147" i="1"/>
  <c r="H147" i="1"/>
  <c r="G147" i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H133" i="1" s="1"/>
  <c r="F135" i="1"/>
  <c r="I134" i="1"/>
  <c r="G134" i="1"/>
  <c r="F134" i="1"/>
  <c r="F133" i="1" s="1"/>
  <c r="F150" i="1" s="1"/>
  <c r="E134" i="1"/>
  <c r="D134" i="1"/>
  <c r="I133" i="1"/>
  <c r="I150" i="1" s="1"/>
  <c r="G133" i="1"/>
  <c r="E133" i="1"/>
  <c r="D133" i="1"/>
  <c r="D150" i="1" s="1"/>
  <c r="I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E128" i="1"/>
  <c r="D128" i="1"/>
  <c r="C126" i="1"/>
  <c r="I107" i="1"/>
  <c r="F107" i="1"/>
  <c r="E107" i="1"/>
  <c r="D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H96" i="1" s="1"/>
  <c r="H95" i="1" s="1"/>
  <c r="G97" i="1"/>
  <c r="F97" i="1"/>
  <c r="I96" i="1"/>
  <c r="G96" i="1"/>
  <c r="G95" i="1" s="1"/>
  <c r="F96" i="1"/>
  <c r="E96" i="1"/>
  <c r="D96" i="1"/>
  <c r="I95" i="1"/>
  <c r="F95" i="1"/>
  <c r="E95" i="1"/>
  <c r="D95" i="1"/>
  <c r="I94" i="1"/>
  <c r="H94" i="1"/>
  <c r="H92" i="1" s="1"/>
  <c r="H107" i="1" s="1"/>
  <c r="G94" i="1"/>
  <c r="F94" i="1"/>
  <c r="I93" i="1"/>
  <c r="H93" i="1"/>
  <c r="G93" i="1"/>
  <c r="F93" i="1"/>
  <c r="I92" i="1"/>
  <c r="G92" i="1"/>
  <c r="G107" i="1" s="1"/>
  <c r="F92" i="1"/>
  <c r="E92" i="1"/>
  <c r="D92" i="1"/>
  <c r="C89" i="1"/>
  <c r="H85" i="1"/>
  <c r="F85" i="1"/>
  <c r="D85" i="1"/>
  <c r="G61" i="1"/>
  <c r="G60" i="1"/>
  <c r="H55" i="1"/>
  <c r="G55" i="1"/>
  <c r="F55" i="1"/>
  <c r="E55" i="1"/>
  <c r="F32" i="1" s="1"/>
  <c r="F27" i="1" s="1"/>
  <c r="E44" i="1"/>
  <c r="I43" i="1"/>
  <c r="H43" i="1"/>
  <c r="G43" i="1"/>
  <c r="F43" i="1"/>
  <c r="H42" i="1"/>
  <c r="I41" i="1"/>
  <c r="H41" i="1"/>
  <c r="G41" i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4" i="1"/>
  <c r="I35" i="1"/>
  <c r="I34" i="1" s="1"/>
  <c r="G35" i="1"/>
  <c r="G34" i="1" s="1"/>
  <c r="F35" i="1"/>
  <c r="E35" i="1"/>
  <c r="D34" i="1"/>
  <c r="I33" i="1"/>
  <c r="H33" i="1"/>
  <c r="G33" i="1"/>
  <c r="F33" i="1"/>
  <c r="I32" i="1"/>
  <c r="I27" i="1" s="1"/>
  <c r="H32" i="1"/>
  <c r="G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H27" i="1"/>
  <c r="G27" i="1"/>
  <c r="E27" i="1"/>
  <c r="D27" i="1"/>
  <c r="E26" i="1"/>
  <c r="D26" i="1"/>
  <c r="D44" i="1" s="1"/>
  <c r="I25" i="1"/>
  <c r="H25" i="1"/>
  <c r="G25" i="1"/>
  <c r="F25" i="1"/>
  <c r="I24" i="1"/>
  <c r="H24" i="1"/>
  <c r="G24" i="1"/>
  <c r="F24" i="1"/>
  <c r="I23" i="1"/>
  <c r="H23" i="1"/>
  <c r="G23" i="1"/>
  <c r="F23" i="1"/>
  <c r="E23" i="1"/>
  <c r="D23" i="1"/>
  <c r="H16" i="1"/>
  <c r="F16" i="1"/>
  <c r="D16" i="1"/>
  <c r="G150" i="1" l="1"/>
  <c r="H150" i="1"/>
  <c r="I26" i="1"/>
  <c r="I44" i="1" s="1"/>
  <c r="F26" i="1"/>
  <c r="F44" i="1" s="1"/>
  <c r="H34" i="1"/>
  <c r="H26" i="1" s="1"/>
  <c r="H44" i="1" s="1"/>
  <c r="G26" i="1"/>
  <c r="G44" i="1" s="1"/>
  <c r="H35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<sst xmlns="http://schemas.openxmlformats.org/spreadsheetml/2006/main" count="359" uniqueCount="152">
  <si>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</si>
  <si>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</si>
  <si>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</si>
  <si>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</si>
  <si>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</si>
  <si>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</si>
  <si>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</si>
  <si>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</si>
  <si>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</si>
  <si>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</si>
  <si>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</si>
  <si>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</si>
  <si>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</si>
  <si>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</si>
  <si>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</si>
  <si>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</si>
  <si>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</si>
  <si>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</si>
  <si>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</si>
  <si>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</si>
  <si>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</si>
  <si>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</si>
  <si>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</si>
  <si>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</si>
  <si>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</si>
  <si>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</si>
  <si>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</si>
  <si>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</si>
  <si>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</si>
  <si>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</si>
  <si>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</si>
  <si>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</si>
  <si>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</si>
  <si>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</si>
  <si>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</si>
  <si>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</si>
  <si>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</si>
  <si>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</si>
  <si>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</si>
  <si>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</si>
  <si>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</si>
  <si>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</si>
  <si>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</si>
  <si>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</si>
  <si>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</si>
  <si>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</si>
  <si>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</si>
  <si>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</si>
  <si>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</si>
  <si>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</si>
  <si>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</si>
  <si>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</si>
  <si>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</si>
  <si>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</si>
  <si>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</si>
  <si>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</si>
  <si>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</si>
  <si>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</si>
  <si>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</si>
  <si>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</si>
  <si>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</si>
  <si>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</si>
  <si>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</si>
  <si>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</si>
  <si>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</si>
  <si>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</si>
  <si>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</si>
  <si>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</si>
  <si>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</si>
  <si>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</si>
  <si>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</si>
  <si>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</si>
  <si>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</si>
  <si>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</si>
  <si>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</si>
  <si>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</si>
  <si>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</si>
  <si>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</si>
  <si>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</si>
  <si>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</si>
  <si>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</si>
  <si>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</si>
  <si>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</si>
  <si>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</si>
  <si>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</si>
  <si>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</si>
  <si>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</si>
  <si>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</si>
  <si>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</si>
  <si>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</si>
  <si>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</si>
  <si>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</si>
  <si>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</si>
  <si>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</si>
  <si>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</si>
  <si>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</si>
  <si>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</si>
  <si>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</si>
  <si>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</si>
  <si>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</si>
  <si>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</si>
  <si>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</si>
  <si>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</si>
  <si>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</si>
  <si>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</si>
  <si>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</si>
  <si>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</si>
  <si>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</si>
  <si>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</si>
  <si>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</si>
  <si>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</si>
  <si>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</si>
  <si>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</si>
  <si>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</si>
  <si>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</si>
  <si>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</si>
  <si>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</si>
  <si>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</si>
  <si>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</si>
  <si>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</si>
  <si>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</si>
  <si>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</si>
  <si>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</si>
  <si>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</si>
  <si>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</si>
  <si>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</si>
  <si>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</si>
  <si>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</si>
  <si>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</si>
  <si>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</si>
  <si>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</si>
  <si>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</si>
  <si>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</si>
  <si>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</si>
  <si>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</si>
  <si>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</si>
  <si>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</si>
  <si>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</si>
  <si>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</si>
  <si>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</si>
  <si>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</si>
  <si>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</si>
  <si>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</si>
  <si>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</si>
  <si>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46 tonn, men det legges til grunn at hele avsetningen tas</t>
  </si>
  <si>
    <t>4 Registrert rekreasjonsfiske utgjør 187 tonn, men det legges til grunn at hele avsetningen tas</t>
  </si>
  <si>
    <t>3 Registrert rekreasjonsfiske utgjør 589 tonn, men det legges til grunn at hele avsetningen tas</t>
  </si>
  <si>
    <t>FANGST UKE 21</t>
  </si>
  <si>
    <t>FANGST T.O.M UKE 21</t>
  </si>
  <si>
    <t>RESTKVOTER UKE 21</t>
  </si>
  <si>
    <t>FANGST T.O.M UKE 21 2023</t>
  </si>
  <si>
    <r>
      <t>3</t>
    </r>
    <r>
      <rPr>
        <sz val="9"/>
        <color indexed="8"/>
        <rFont val="Calibri"/>
        <family val="2"/>
      </rPr>
      <t xml:space="preserve"> Det er fisket 1 730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</si>
</sst>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F6" sqref="F6"/>
    </sheetView>
  </sheetViews>
  <sheetFormatPr defaultColWidth="10.6640625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9" customHeight="1" x14ac:dyDescent="0.3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3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5" customHeight="1" x14ac:dyDescent="0.3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3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3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3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5" customHeight="1" x14ac:dyDescent="0.3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3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3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3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3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3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5" customHeight="1" x14ac:dyDescent="0.3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95.125500000000002</v>
      </c>
      <c r="G23" s="28">
        <f t="shared" si="0"/>
        <v>35532.415310000004</v>
      </c>
      <c r="H23" s="11">
        <f t="shared" si="0"/>
        <v>25279.58469</v>
      </c>
      <c r="I23" s="11">
        <f t="shared" si="0"/>
        <v>43005.901590000001</v>
      </c>
      <c r="J23" s="243"/>
    </row>
    <row r="24" spans="1:10" ht="14.15" customHeight="1" x14ac:dyDescent="0.35">
      <c r="A24" s="1"/>
      <c r="B24" s="253"/>
      <c r="C24" s="44" t="s">
        <v>20</v>
      </c>
      <c r="D24" s="45">
        <v>61689</v>
      </c>
      <c r="E24" s="45">
        <v>60042</v>
      </c>
      <c r="F24" s="23">
        <f>37.518</f>
        <v>37.518000000000001</v>
      </c>
      <c r="G24" s="23">
        <f>35071.39052</f>
        <v>35071.390520000001</v>
      </c>
      <c r="H24" s="23">
        <f>E24-G24</f>
        <v>24970.609479999999</v>
      </c>
      <c r="I24" s="23">
        <f>42788.28735</f>
        <v>42788.287349999999</v>
      </c>
      <c r="J24" s="243"/>
    </row>
    <row r="25" spans="1:10" ht="14.15" customHeight="1" x14ac:dyDescent="0.35">
      <c r="A25" s="1"/>
      <c r="B25" s="253"/>
      <c r="C25" s="48" t="s">
        <v>21</v>
      </c>
      <c r="D25" s="49">
        <v>750</v>
      </c>
      <c r="E25" s="49">
        <v>770</v>
      </c>
      <c r="F25" s="171">
        <f>57.6075</f>
        <v>57.607500000000002</v>
      </c>
      <c r="G25" s="23">
        <f>461.02479</f>
        <v>461.02479</v>
      </c>
      <c r="H25" s="23">
        <f>E25-G25</f>
        <v>308.97521</v>
      </c>
      <c r="I25" s="23">
        <f>217.61424</f>
        <v>217.61424</v>
      </c>
      <c r="J25" s="243"/>
    </row>
    <row r="26" spans="1:10" ht="14.15" customHeight="1" x14ac:dyDescent="0.3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502.57768999999996</v>
      </c>
      <c r="G26" s="11">
        <f t="shared" si="1"/>
        <v>112300.73689</v>
      </c>
      <c r="H26" s="11">
        <f t="shared" si="1"/>
        <v>32573.26311</v>
      </c>
      <c r="I26" s="11">
        <f t="shared" si="1"/>
        <v>160056.99425000002</v>
      </c>
      <c r="J26" s="243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374.00979999999998</v>
      </c>
      <c r="G27" s="132">
        <f t="shared" ref="G27:I27" si="2">G28+G29+G30+G31+G32</f>
        <v>93403.983500000002</v>
      </c>
      <c r="H27" s="132">
        <f t="shared" si="2"/>
        <v>19574.016500000002</v>
      </c>
      <c r="I27" s="132">
        <f t="shared" si="2"/>
        <v>128101.24477</v>
      </c>
      <c r="J27" s="243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62.16174</f>
        <v>62.161740000000002</v>
      </c>
      <c r="G28" s="127">
        <f>24978.04756 - F56</f>
        <v>24978.047559999999</v>
      </c>
      <c r="H28" s="127">
        <f t="shared" ref="H28:H40" si="3">E28-G28</f>
        <v>3651.9524400000009</v>
      </c>
      <c r="I28" s="127">
        <f>35397.0394 - H56</f>
        <v>35397.039400000001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93.41815</f>
        <v>93.418149999999997</v>
      </c>
      <c r="G29" s="127">
        <f>26226.85893 - F57</f>
        <v>26226.858929999999</v>
      </c>
      <c r="H29" s="127">
        <f t="shared" si="3"/>
        <v>3438.1410700000015</v>
      </c>
      <c r="I29" s="127">
        <f>36228.60399 - H57</f>
        <v>36228.603990000003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113.17617</f>
        <v>113.17617</v>
      </c>
      <c r="G30" s="127">
        <f>24472.5932 - F58</f>
        <v>24472.593199999999</v>
      </c>
      <c r="H30" s="127">
        <f t="shared" si="3"/>
        <v>2771.4068000000007</v>
      </c>
      <c r="I30" s="127">
        <f>33344.403 - H58</f>
        <v>33344.402999999998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105.25374</f>
        <v>105.25373999999999</v>
      </c>
      <c r="G31" s="127">
        <f>17726.48381 - F59</f>
        <v>17726.483810000002</v>
      </c>
      <c r="H31" s="127">
        <f t="shared" si="3"/>
        <v>1612.5161899999985</v>
      </c>
      <c r="I31" s="127">
        <f>23131.19838 - H59</f>
        <v>23131.198380000002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6.54464</f>
        <v>6.5446400000000002</v>
      </c>
      <c r="G33" s="132">
        <f>7961.75421</f>
        <v>7961.7542100000001</v>
      </c>
      <c r="H33" s="132">
        <f t="shared" si="3"/>
        <v>8897.2457900000009</v>
      </c>
      <c r="I33" s="132">
        <f>12961.61244</f>
        <v>12961.612440000001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122.02325</v>
      </c>
      <c r="G34" s="132">
        <f>G35+G36</f>
        <v>10934.999180000001</v>
      </c>
      <c r="H34" s="132">
        <f t="shared" si="3"/>
        <v>4102.0008199999993</v>
      </c>
      <c r="I34" s="132">
        <f>I35+I36</f>
        <v>18994.137040000001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122.02325</f>
        <v>122.02325</v>
      </c>
      <c r="G35" s="132">
        <f>13366.99918 - F60 - F61</f>
        <v>10934.999180000001</v>
      </c>
      <c r="H35" s="127">
        <f t="shared" si="3"/>
        <v>3142.0008199999993</v>
      </c>
      <c r="I35" s="127">
        <f>22645.13704 - H60 - H61</f>
        <v>18994.137040000001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3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272.3616</f>
        <v>272.36160000000001</v>
      </c>
      <c r="H37" s="139">
        <f t="shared" si="3"/>
        <v>1727.6384</v>
      </c>
      <c r="I37" s="139">
        <f>745.8376</f>
        <v>745.83759999999995</v>
      </c>
      <c r="J37" s="243"/>
    </row>
    <row r="38" spans="1:13" ht="14.15" customHeight="1" x14ac:dyDescent="0.35">
      <c r="A38" s="1"/>
      <c r="B38" s="253"/>
      <c r="C38" s="73" t="s">
        <v>34</v>
      </c>
      <c r="D38" s="143">
        <v>855</v>
      </c>
      <c r="E38" s="143">
        <v>855</v>
      </c>
      <c r="F38" s="98">
        <f>0.03975</f>
        <v>3.9750000000000001E-2</v>
      </c>
      <c r="G38" s="98">
        <f>447.68742</f>
        <v>447.68741999999997</v>
      </c>
      <c r="H38" s="98">
        <f t="shared" si="3"/>
        <v>407.31258000000003</v>
      </c>
      <c r="I38" s="98">
        <f>459.86382</f>
        <v>459.86381999999998</v>
      </c>
      <c r="J38" s="243"/>
    </row>
    <row r="39" spans="1:13" ht="17.25" customHeight="1" x14ac:dyDescent="0.3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27</v>
      </c>
      <c r="G39" s="98">
        <f>F61</f>
        <v>2432</v>
      </c>
      <c r="H39" s="98">
        <f t="shared" si="3"/>
        <v>568</v>
      </c>
      <c r="I39" s="98">
        <f>H61</f>
        <v>3651</v>
      </c>
      <c r="J39" s="243"/>
    </row>
    <row r="40" spans="1:13" ht="17.25" customHeight="1" x14ac:dyDescent="0.35">
      <c r="A40" s="1"/>
      <c r="B40" s="253"/>
      <c r="C40" s="73" t="s">
        <v>36</v>
      </c>
      <c r="D40" s="143">
        <v>7000</v>
      </c>
      <c r="E40" s="143">
        <v>7000</v>
      </c>
      <c r="F40" s="98">
        <f>7.17998</f>
        <v>7.1799799999999996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35">
      <c r="A41" s="1"/>
      <c r="B41" s="253"/>
      <c r="C41" s="73" t="s">
        <v>38</v>
      </c>
      <c r="D41" s="143">
        <v>400</v>
      </c>
      <c r="E41" s="143">
        <v>400</v>
      </c>
      <c r="F41" s="98">
        <f>0.4069</f>
        <v>0.40689999999999998</v>
      </c>
      <c r="G41" s="98">
        <f>311.12851</f>
        <v>311.12851000000001</v>
      </c>
      <c r="H41" s="98">
        <f>E41-G41</f>
        <v>88.871489999999994</v>
      </c>
      <c r="I41" s="98">
        <f>328.97565</f>
        <v>328.97564999999997</v>
      </c>
      <c r="J41" s="243"/>
    </row>
    <row r="42" spans="1:13" ht="17.25" customHeight="1" x14ac:dyDescent="0.3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5" customHeight="1" x14ac:dyDescent="0.35">
      <c r="A43" s="1"/>
      <c r="B43" s="253"/>
      <c r="C43" s="73" t="s">
        <v>39</v>
      </c>
      <c r="D43" s="143"/>
      <c r="E43" s="139"/>
      <c r="F43" s="139">
        <f>0</f>
        <v>0</v>
      </c>
      <c r="G43" s="139">
        <f>106.14526</f>
        <v>106.14525999999999</v>
      </c>
      <c r="H43" s="139">
        <f t="shared" ref="H43" si="4">E43-G43</f>
        <v>-106.14525999999999</v>
      </c>
      <c r="I43" s="139">
        <f>58.50967</f>
        <v>58.50967</v>
      </c>
      <c r="J43" s="243"/>
    </row>
    <row r="44" spans="1:13" ht="16.5" customHeight="1" x14ac:dyDescent="0.3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632.32981999999993</v>
      </c>
      <c r="G44" s="76">
        <f t="shared" si="5"/>
        <v>158402.47899</v>
      </c>
      <c r="H44" s="76">
        <f t="shared" si="5"/>
        <v>60638.521010000004</v>
      </c>
      <c r="I44" s="76">
        <f t="shared" si="5"/>
        <v>215307.08258000002</v>
      </c>
      <c r="J44" s="243"/>
    </row>
    <row r="45" spans="1:13" ht="14.15" customHeight="1" x14ac:dyDescent="0.3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5" customHeight="1" x14ac:dyDescent="0.3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5" customHeight="1" x14ac:dyDescent="0.3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5" customHeight="1" x14ac:dyDescent="0.3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3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11">
        <f>E60+E58+E57+E56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5" customHeight="1" x14ac:dyDescent="0.3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5" customHeight="1" x14ac:dyDescent="0.3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5" customHeight="1" x14ac:dyDescent="0.3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5" customHeight="1" thickBot="1" x14ac:dyDescent="0.4">
      <c r="A59" s="101"/>
      <c r="B59" s="24"/>
      <c r="C59" s="87" t="s">
        <v>27</v>
      </c>
      <c r="D59" s="297"/>
      <c r="F59" s="192"/>
      <c r="G59" s="297"/>
      <c r="H59" s="192"/>
      <c r="I59" s="257"/>
      <c r="J59" s="243"/>
    </row>
    <row r="60" spans="1:10" ht="14.15" customHeight="1" thickBot="1" x14ac:dyDescent="0.4">
      <c r="A60" s="101"/>
      <c r="B60" s="24"/>
      <c r="C60" s="88" t="s">
        <v>46</v>
      </c>
      <c r="D60" s="95">
        <v>960</v>
      </c>
      <c r="E60" s="192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5" customHeight="1" thickBot="1" x14ac:dyDescent="0.4">
      <c r="A61" s="101"/>
      <c r="B61" s="24"/>
      <c r="C61" s="142" t="s">
        <v>47</v>
      </c>
      <c r="D61" s="139">
        <v>3000</v>
      </c>
      <c r="E61" s="139">
        <v>27</v>
      </c>
      <c r="F61" s="139">
        <v>2432</v>
      </c>
      <c r="G61" s="139">
        <f>D61-F61</f>
        <v>568</v>
      </c>
      <c r="H61" s="139">
        <v>3651</v>
      </c>
      <c r="I61" s="257"/>
      <c r="J61" s="243"/>
    </row>
    <row r="62" spans="1:10" ht="14.15" customHeight="1" x14ac:dyDescent="0.3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5" customHeight="1" x14ac:dyDescent="0.3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3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97" customHeight="1" x14ac:dyDescent="0.35"/>
    <row r="78" spans="1:10" ht="17.149999999999999" customHeight="1" x14ac:dyDescent="0.3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8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3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3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5" customHeight="1" x14ac:dyDescent="0.3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3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3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3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5" customHeight="1" x14ac:dyDescent="0.3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3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3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5" customHeight="1" x14ac:dyDescent="0.3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74.99799999999999</v>
      </c>
      <c r="G92" s="11">
        <f t="shared" si="6"/>
        <v>22431.277729999998</v>
      </c>
      <c r="H92" s="11">
        <f t="shared" si="6"/>
        <v>3529.7222700000011</v>
      </c>
      <c r="I92" s="11">
        <f t="shared" si="6"/>
        <v>38305.422589999995</v>
      </c>
      <c r="J92" s="243"/>
    </row>
    <row r="93" spans="1:10" ht="15" customHeight="1" x14ac:dyDescent="0.35">
      <c r="A93" s="1"/>
      <c r="B93" s="253"/>
      <c r="C93" s="44" t="s">
        <v>20</v>
      </c>
      <c r="D93" s="45">
        <v>25957</v>
      </c>
      <c r="E93" s="45">
        <v>25136</v>
      </c>
      <c r="F93" s="23">
        <f>62.9678</f>
        <v>62.967799999999997</v>
      </c>
      <c r="G93" s="23">
        <f>21659.90328</f>
        <v>21659.903279999999</v>
      </c>
      <c r="H93" s="23">
        <f>E93-G93</f>
        <v>3476.0967200000014</v>
      </c>
      <c r="I93" s="23">
        <f>37811.22665</f>
        <v>37811.226649999997</v>
      </c>
      <c r="J93" s="243"/>
    </row>
    <row r="94" spans="1:10" ht="14.15" customHeight="1" x14ac:dyDescent="0.35">
      <c r="A94" s="1"/>
      <c r="B94" s="253"/>
      <c r="C94" s="64" t="s">
        <v>21</v>
      </c>
      <c r="D94" s="49">
        <v>750</v>
      </c>
      <c r="E94" s="49">
        <v>825</v>
      </c>
      <c r="F94" s="50">
        <f>12.0302</f>
        <v>12.030200000000001</v>
      </c>
      <c r="G94" s="50">
        <f>771.37445</f>
        <v>771.37445000000002</v>
      </c>
      <c r="H94" s="50">
        <f>E94-G94</f>
        <v>53.625549999999976</v>
      </c>
      <c r="I94" s="50">
        <f>494.19594</f>
        <v>494.19594000000001</v>
      </c>
      <c r="J94" s="243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1358.5439699999999</v>
      </c>
      <c r="G95" s="11">
        <f t="shared" si="7"/>
        <v>25102.907769999998</v>
      </c>
      <c r="H95" s="11">
        <f t="shared" si="7"/>
        <v>23891.092230000002</v>
      </c>
      <c r="I95" s="11">
        <f t="shared" si="7"/>
        <v>17235.65293</v>
      </c>
      <c r="J95" s="243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1310.50244</v>
      </c>
      <c r="G96" s="132">
        <f t="shared" si="8"/>
        <v>19173.230749999999</v>
      </c>
      <c r="H96" s="132">
        <f t="shared" si="8"/>
        <v>18320.769250000001</v>
      </c>
      <c r="I96" s="132">
        <f t="shared" si="8"/>
        <v>11869.03882</v>
      </c>
      <c r="J96" s="243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127.70761</f>
        <v>127.70761</v>
      </c>
      <c r="G97" s="127">
        <f>3692.81701</f>
        <v>3692.8170100000002</v>
      </c>
      <c r="H97" s="127">
        <f t="shared" ref="H97:H104" si="9">E97-G97</f>
        <v>6322.1829899999993</v>
      </c>
      <c r="I97" s="127">
        <f>2129.54348</f>
        <v>2129.5434799999998</v>
      </c>
      <c r="J97" s="243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339.44089</f>
        <v>339.44089000000002</v>
      </c>
      <c r="G98" s="127">
        <f>6259.96854</f>
        <v>6259.9685399999998</v>
      </c>
      <c r="H98" s="127">
        <f t="shared" si="9"/>
        <v>4354.0314600000002</v>
      </c>
      <c r="I98" s="127">
        <f>3658.4961</f>
        <v>3658.4960999999998</v>
      </c>
      <c r="J98" s="243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531.76728</f>
        <v>531.76728000000003</v>
      </c>
      <c r="G99" s="127">
        <f>6123.16623</f>
        <v>6123.1662299999998</v>
      </c>
      <c r="H99" s="127">
        <f t="shared" si="9"/>
        <v>3988.8337700000002</v>
      </c>
      <c r="I99" s="127">
        <f>3143.0019</f>
        <v>3143.0019000000002</v>
      </c>
      <c r="J99" s="243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311.58666</f>
        <v>311.58665999999999</v>
      </c>
      <c r="G100" s="127">
        <f>3097.27897</f>
        <v>3097.2789699999998</v>
      </c>
      <c r="H100" s="127">
        <f t="shared" si="9"/>
        <v>3655.7210300000002</v>
      </c>
      <c r="I100" s="127">
        <f>2937.99734</f>
        <v>2937.9973399999999</v>
      </c>
      <c r="J100" s="243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30.75508</f>
        <v>30.75508</v>
      </c>
      <c r="G101" s="132">
        <f>4299.65753</f>
        <v>4299.6575300000004</v>
      </c>
      <c r="H101" s="132">
        <f t="shared" si="9"/>
        <v>3296.3424699999996</v>
      </c>
      <c r="I101" s="132">
        <f>4216.74499</f>
        <v>4216.7449900000001</v>
      </c>
      <c r="J101" s="243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17.28645</f>
        <v>17.286449999999999</v>
      </c>
      <c r="G102" s="75">
        <f>1630.01949</f>
        <v>1630.0194899999999</v>
      </c>
      <c r="H102" s="75">
        <f t="shared" si="9"/>
        <v>2273.9805100000003</v>
      </c>
      <c r="I102" s="75">
        <f>1149.86912</f>
        <v>1149.8691200000001</v>
      </c>
      <c r="J102" s="243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36.00568</f>
        <v>36.005679999999998</v>
      </c>
      <c r="H103" s="98">
        <f t="shared" si="9"/>
        <v>282.99432000000002</v>
      </c>
      <c r="I103" s="98">
        <f>11.24867</f>
        <v>11.248670000000001</v>
      </c>
      <c r="J103" s="243"/>
    </row>
    <row r="104" spans="1:10" ht="18" customHeight="1" x14ac:dyDescent="0.35">
      <c r="A104" s="1"/>
      <c r="B104" s="253"/>
      <c r="C104" s="73" t="s">
        <v>54</v>
      </c>
      <c r="D104" s="143">
        <v>300</v>
      </c>
      <c r="E104" s="143">
        <v>300</v>
      </c>
      <c r="F104" s="139">
        <f>0.19953</f>
        <v>0.19953000000000001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35">
      <c r="A105" s="1"/>
      <c r="B105" s="253"/>
      <c r="C105" s="93" t="s">
        <v>38</v>
      </c>
      <c r="D105" s="143">
        <v>50</v>
      </c>
      <c r="E105" s="143">
        <v>50</v>
      </c>
      <c r="F105" s="98">
        <f>0.09424</f>
        <v>9.4240000000000004E-2</v>
      </c>
      <c r="G105" s="98">
        <f>19.21956</f>
        <v>19.219560000000001</v>
      </c>
      <c r="H105" s="139">
        <f>E105-G105</f>
        <v>30.780439999999999</v>
      </c>
      <c r="I105" s="98">
        <f>6.50146</f>
        <v>6.5014599999999998</v>
      </c>
      <c r="J105" s="243"/>
    </row>
    <row r="106" spans="1:10" ht="18" customHeight="1" x14ac:dyDescent="0.3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16.02412</f>
        <v>16.02412</v>
      </c>
      <c r="H106" s="139">
        <f t="shared" ref="H106" si="10">E106-G106</f>
        <v>-16.02412</v>
      </c>
      <c r="I106" s="139">
        <f>24.22476</f>
        <v>24.22476</v>
      </c>
      <c r="J106" s="243"/>
    </row>
    <row r="107" spans="1:10" ht="16.5" customHeight="1" x14ac:dyDescent="0.3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1433.83574</v>
      </c>
      <c r="G107" s="76">
        <f t="shared" si="12"/>
        <v>47905.434859999994</v>
      </c>
      <c r="H107" s="76">
        <f t="shared" si="12"/>
        <v>27718.565140000006</v>
      </c>
      <c r="I107" s="76">
        <f t="shared" si="12"/>
        <v>55883.050409999996</v>
      </c>
      <c r="J107" s="243"/>
    </row>
    <row r="108" spans="1:10" ht="13.5" customHeight="1" x14ac:dyDescent="0.3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3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3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3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3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49999999999999" customHeight="1" x14ac:dyDescent="0.3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3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5" customHeight="1" x14ac:dyDescent="0.3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5" customHeight="1" x14ac:dyDescent="0.3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5" customHeight="1" x14ac:dyDescent="0.3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3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3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3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5" customHeight="1" x14ac:dyDescent="0.3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300.21159999999998</v>
      </c>
      <c r="G128" s="11">
        <f t="shared" si="13"/>
        <v>36298.283669999997</v>
      </c>
      <c r="H128" s="11">
        <f t="shared" si="13"/>
        <v>36008.716330000003</v>
      </c>
      <c r="I128" s="11">
        <f t="shared" si="13"/>
        <v>33957.644110000001</v>
      </c>
      <c r="J128" s="243"/>
    </row>
    <row r="129" spans="1:10" ht="14.15" customHeight="1" x14ac:dyDescent="0.35">
      <c r="A129" s="1"/>
      <c r="B129" s="253"/>
      <c r="C129" s="44" t="s">
        <v>20</v>
      </c>
      <c r="D129" s="45">
        <v>60688</v>
      </c>
      <c r="E129" s="45">
        <v>57562</v>
      </c>
      <c r="F129" s="23">
        <f>275.08</f>
        <v>275.08</v>
      </c>
      <c r="G129" s="23">
        <f>32000.40897</f>
        <v>32000.40897</v>
      </c>
      <c r="H129" s="23">
        <f>E129-G129</f>
        <v>25561.59103</v>
      </c>
      <c r="I129" s="23">
        <f>29309.64708</f>
        <v>29309.647079999999</v>
      </c>
      <c r="J129" s="243"/>
    </row>
    <row r="130" spans="1:10" ht="15" customHeight="1" x14ac:dyDescent="0.35">
      <c r="A130" s="1"/>
      <c r="B130" s="253"/>
      <c r="C130" s="44" t="s">
        <v>21</v>
      </c>
      <c r="D130" s="45">
        <v>14672</v>
      </c>
      <c r="E130" s="45">
        <v>14245</v>
      </c>
      <c r="F130" s="23">
        <f>25.1316</f>
        <v>25.131599999999999</v>
      </c>
      <c r="G130" s="23">
        <f>4232.42455</f>
        <v>4232.4245499999997</v>
      </c>
      <c r="H130" s="23">
        <f>E130-G130</f>
        <v>10012.57545</v>
      </c>
      <c r="I130" s="23">
        <f>4532.69078</f>
        <v>4532.6907799999999</v>
      </c>
      <c r="J130" s="243"/>
    </row>
    <row r="131" spans="1:10" ht="13.5" customHeight="1" x14ac:dyDescent="0.3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1310.14734</f>
        <v>1310.14734</v>
      </c>
      <c r="G132" s="95">
        <f>3206.94914+1730.486875</f>
        <v>4937.4360150000002</v>
      </c>
      <c r="H132" s="95">
        <f>E132-G132</f>
        <v>47558.563985000001</v>
      </c>
      <c r="I132" s="95">
        <f>7234.42877</f>
        <v>7234.4287700000004</v>
      </c>
      <c r="J132" s="116"/>
    </row>
    <row r="133" spans="1:10" ht="15.75" customHeight="1" x14ac:dyDescent="0.3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316.14530000000002</v>
      </c>
      <c r="G133" s="94">
        <f t="shared" ref="G133" si="14">G134+G139+G142</f>
        <v>44038.438925000009</v>
      </c>
      <c r="H133" s="94">
        <f>H134+H139+H142</f>
        <v>36126.561074999998</v>
      </c>
      <c r="I133" s="94">
        <f>I134+I139+I142</f>
        <v>44077.536679999997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233.51673</v>
      </c>
      <c r="G134" s="125">
        <f>G135+G136+G138+G137</f>
        <v>32750.146715000003</v>
      </c>
      <c r="H134" s="125">
        <f>H135+H136+H137+H138</f>
        <v>26328.853284999997</v>
      </c>
      <c r="I134" s="125">
        <f>I135+I136+I137+I138</f>
        <v>34771.824699999997</v>
      </c>
      <c r="J134" s="279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48.76702</f>
        <v>48.767020000000002</v>
      </c>
      <c r="G135" s="127">
        <v>6329.1677399999999</v>
      </c>
      <c r="H135" s="127">
        <f>E135-G135</f>
        <v>11444.832259999999</v>
      </c>
      <c r="I135" s="127">
        <f>5558.57341</f>
        <v>5558.57341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34.25176</f>
        <v>34.251759999999997</v>
      </c>
      <c r="G136" s="127">
        <v>10136.835945000001</v>
      </c>
      <c r="H136" s="127">
        <f>E136-G136</f>
        <v>4802.1640549999993</v>
      </c>
      <c r="I136" s="127">
        <f>9806.20396</f>
        <v>9806.2039600000007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54.8692</f>
        <v>54.869199999999999</v>
      </c>
      <c r="G137" s="127">
        <v>8549.5877799999998</v>
      </c>
      <c r="H137" s="127">
        <f>E137-G137</f>
        <v>4501.4122200000002</v>
      </c>
      <c r="I137" s="127">
        <f>9282.51246</f>
        <v>9282.5124599999999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95.62875</f>
        <v>95.628749999999997</v>
      </c>
      <c r="G138" s="127">
        <v>7734.5552500000003</v>
      </c>
      <c r="H138" s="127">
        <f>E138-G138</f>
        <v>5580.4447499999997</v>
      </c>
      <c r="I138" s="127">
        <f>10124.53487</f>
        <v>10124.53487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6.7697599999999998</v>
      </c>
      <c r="G139" s="132">
        <f>SUM(G140:G141)</f>
        <v>8161.2658100000008</v>
      </c>
      <c r="H139" s="132">
        <f>H140+H141</f>
        <v>768.73418999999967</v>
      </c>
      <c r="I139" s="132">
        <f>SUM(I140:I141)</f>
        <v>6173.0814299999993</v>
      </c>
      <c r="J139" s="133"/>
    </row>
    <row r="140" spans="1:10" ht="14.15" customHeight="1" x14ac:dyDescent="0.3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7949.98004</f>
        <v>7949.9800400000004</v>
      </c>
      <c r="H140" s="127">
        <f t="shared" ref="H140:H148" si="15">E140-G140</f>
        <v>480.01995999999963</v>
      </c>
      <c r="I140" s="127">
        <f>6046.44367</f>
        <v>6046.4436699999997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6.76976</f>
        <v>6.7697599999999998</v>
      </c>
      <c r="G141" s="127">
        <f>211.28577</f>
        <v>211.28577000000001</v>
      </c>
      <c r="H141" s="127">
        <f t="shared" si="15"/>
        <v>288.71422999999999</v>
      </c>
      <c r="I141" s="127">
        <f>126.63776</f>
        <v>126.63776</v>
      </c>
      <c r="J141" s="134"/>
    </row>
    <row r="142" spans="1:10" ht="15.75" customHeight="1" x14ac:dyDescent="0.35">
      <c r="A142" s="1"/>
      <c r="B142" s="253"/>
      <c r="C142" s="38" t="s">
        <v>11</v>
      </c>
      <c r="D142" s="61">
        <v>10907</v>
      </c>
      <c r="E142" s="61">
        <v>12156</v>
      </c>
      <c r="F142" s="75">
        <f>75.85881</f>
        <v>75.858810000000005</v>
      </c>
      <c r="G142" s="75">
        <f>3127.0264</f>
        <v>3127.0264000000002</v>
      </c>
      <c r="H142" s="75">
        <f t="shared" si="15"/>
        <v>9028.9735999999994</v>
      </c>
      <c r="I142" s="75">
        <f>3132.63055</f>
        <v>3132.6305499999999</v>
      </c>
      <c r="J142" s="120"/>
    </row>
    <row r="143" spans="1:10" ht="15.75" customHeight="1" x14ac:dyDescent="0.3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15.64845</f>
        <v>15.64845</v>
      </c>
      <c r="H143" s="139">
        <f t="shared" si="15"/>
        <v>130.35155</v>
      </c>
      <c r="I143" s="139">
        <f>27.32725</f>
        <v>27.327249999999999</v>
      </c>
      <c r="J143" s="120"/>
    </row>
    <row r="144" spans="1:10" ht="15.75" customHeight="1" x14ac:dyDescent="0.35">
      <c r="A144" s="1"/>
      <c r="B144" s="253"/>
      <c r="C144" s="140" t="s">
        <v>68</v>
      </c>
      <c r="D144" s="89">
        <v>250</v>
      </c>
      <c r="E144" s="89">
        <v>250</v>
      </c>
      <c r="F144" s="98">
        <f>82.208</f>
        <v>82.207999999999998</v>
      </c>
      <c r="G144" s="98">
        <f>82.208</f>
        <v>82.207999999999998</v>
      </c>
      <c r="H144" s="98">
        <f t="shared" si="15"/>
        <v>167.792</v>
      </c>
      <c r="I144" s="98">
        <f>262.581</f>
        <v>262.58100000000002</v>
      </c>
      <c r="J144" s="120"/>
    </row>
    <row r="145" spans="1:10" ht="18" customHeight="1" x14ac:dyDescent="0.35">
      <c r="A145" s="1"/>
      <c r="B145" s="253"/>
      <c r="C145" s="140" t="s">
        <v>69</v>
      </c>
      <c r="D145" s="143">
        <v>2000</v>
      </c>
      <c r="E145" s="143">
        <v>2000</v>
      </c>
      <c r="F145" s="139">
        <f>9.32483</f>
        <v>9.3248300000000004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3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3"/>
      <c r="C147" s="142" t="s">
        <v>70</v>
      </c>
      <c r="D147" s="143">
        <v>276</v>
      </c>
      <c r="E147" s="143">
        <v>276</v>
      </c>
      <c r="F147" s="98">
        <f>0.16925</f>
        <v>0.16925000000000001</v>
      </c>
      <c r="G147" s="98">
        <f>38.08338</f>
        <v>38.083379999999998</v>
      </c>
      <c r="H147" s="139">
        <f t="shared" si="15"/>
        <v>237.91661999999999</v>
      </c>
      <c r="I147" s="98">
        <f>26.36863</f>
        <v>26.36863</v>
      </c>
      <c r="J147" s="120"/>
    </row>
    <row r="148" spans="1:10" ht="15" customHeight="1" x14ac:dyDescent="0.3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109.98109</f>
        <v>109.98108999999999</v>
      </c>
      <c r="H148" s="139">
        <f t="shared" si="15"/>
        <v>-109.98108999999999</v>
      </c>
      <c r="I148" s="139">
        <f>89.85293</f>
        <v>89.852930000000001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2018.2063200000002</v>
      </c>
      <c r="G150" s="76">
        <f>G128+G132+G133+G143+G144+G145+G146+G147+G148</f>
        <v>87520.079530000003</v>
      </c>
      <c r="H150" s="76">
        <f>H128+H132+H133+H143+H144+H145+H146+H147+H148</f>
        <v>120119.92047000003</v>
      </c>
      <c r="I150" s="76">
        <f>I128+I132+I133+I143+I144+I145+I146+I147+I148</f>
        <v>87675.739369999996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3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3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3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6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5" customHeight="1" x14ac:dyDescent="0.3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5" customHeight="1" x14ac:dyDescent="0.3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5" customHeight="1" x14ac:dyDescent="0.3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5" customHeight="1" x14ac:dyDescent="0.3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5" customHeight="1" x14ac:dyDescent="0.3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3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3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5" customHeight="1" x14ac:dyDescent="0.35">
      <c r="A175" s="1"/>
      <c r="B175" s="253"/>
      <c r="C175" s="141" t="s">
        <v>75</v>
      </c>
      <c r="D175" s="94">
        <v>4223</v>
      </c>
      <c r="E175" s="275">
        <f>27.11804</f>
        <v>27.118040000000001</v>
      </c>
      <c r="F175" s="275">
        <f>380.4804</f>
        <v>380.48039999999997</v>
      </c>
      <c r="G175" s="43">
        <f>D175-F175-F176</f>
        <v>2995.8018000000002</v>
      </c>
      <c r="H175" s="275">
        <f>695.60732</f>
        <v>695.60731999999996</v>
      </c>
      <c r="I175" s="1"/>
      <c r="J175" s="120"/>
    </row>
    <row r="176" spans="1:10" ht="14.15" customHeight="1" x14ac:dyDescent="0.35">
      <c r="A176" s="1"/>
      <c r="B176" s="253"/>
      <c r="C176" s="137" t="s">
        <v>53</v>
      </c>
      <c r="D176" s="181"/>
      <c r="E176" s="152">
        <f>2.04357</f>
        <v>2.0435699999999999</v>
      </c>
      <c r="F176" s="152">
        <f>846.7178</f>
        <v>846.71780000000001</v>
      </c>
      <c r="G176" s="216"/>
      <c r="H176" s="152">
        <f>541.1165</f>
        <v>541.11649999999997</v>
      </c>
      <c r="I176" s="1"/>
      <c r="J176" s="120"/>
    </row>
    <row r="177" spans="1:10" ht="15.65" customHeight="1" x14ac:dyDescent="0.35">
      <c r="A177" s="1"/>
      <c r="B177" s="253"/>
      <c r="C177" s="169" t="s">
        <v>76</v>
      </c>
      <c r="D177" s="98">
        <v>200</v>
      </c>
      <c r="E177" s="172">
        <f>9.3472</f>
        <v>9.3472000000000008</v>
      </c>
      <c r="F177" s="172">
        <f>67.05878</f>
        <v>67.058779999999999</v>
      </c>
      <c r="G177" s="172">
        <f>D177-F177</f>
        <v>132.94121999999999</v>
      </c>
      <c r="H177" s="172">
        <f>54.25948</f>
        <v>54.259480000000003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0.90757999999999994</v>
      </c>
      <c r="F178" s="181">
        <f>F179+F180+F181</f>
        <v>122.06910999999999</v>
      </c>
      <c r="G178" s="181">
        <f>D178-F178</f>
        <v>6211.9308899999996</v>
      </c>
      <c r="H178" s="181">
        <f>H179+H180+H181</f>
        <v>40.841619999999999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0.08588</f>
        <v>8.5879999999999998E-2</v>
      </c>
      <c r="F179" s="127">
        <f>53.02861</f>
        <v>53.02861</v>
      </c>
      <c r="G179" s="127"/>
      <c r="H179" s="127">
        <f>12.65798</f>
        <v>12.65798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0.78138</f>
        <v>0.78137999999999996</v>
      </c>
      <c r="F180" s="127">
        <f>29.3452</f>
        <v>29.345199999999998</v>
      </c>
      <c r="G180" s="127"/>
      <c r="H180" s="127">
        <f>25.62356</f>
        <v>25.623560000000001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0.04032</f>
        <v>4.0320000000000002E-2</v>
      </c>
      <c r="F181" s="192">
        <f>39.6953</f>
        <v>39.695300000000003</v>
      </c>
      <c r="G181" s="192"/>
      <c r="H181" s="192">
        <f>2.56008</f>
        <v>2.5600800000000001</v>
      </c>
      <c r="I181" s="186"/>
      <c r="J181" s="187"/>
    </row>
    <row r="182" spans="1:10" ht="14.15" customHeight="1" x14ac:dyDescent="0.3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3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39.41639</v>
      </c>
      <c r="F184" s="194">
        <f>F175+F176+F177+F178+F182+F183</f>
        <v>1416.32609</v>
      </c>
      <c r="G184" s="194">
        <f>D184-F184</f>
        <v>9406.6739099999995</v>
      </c>
      <c r="H184" s="194">
        <f>H175+H176+H177+H178+H182+H183</f>
        <v>1331.8249199999998</v>
      </c>
      <c r="I184" s="163"/>
      <c r="J184" s="160"/>
    </row>
    <row r="185" spans="1:10" ht="42" customHeight="1" x14ac:dyDescent="0.3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3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3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3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35">
      <c r="A204" s="1"/>
      <c r="B204" s="253"/>
      <c r="C204" s="90" t="s">
        <v>4</v>
      </c>
      <c r="D204" s="124">
        <v>46282</v>
      </c>
      <c r="E204" s="124">
        <f>1507.72193</f>
        <v>1507.7219299999999</v>
      </c>
      <c r="F204" s="124">
        <f>14977.95408</f>
        <v>14977.95408</v>
      </c>
      <c r="G204" s="124">
        <f>D204-F204</f>
        <v>31304.04592</v>
      </c>
      <c r="H204" s="124">
        <f>11315.40243</f>
        <v>11315.40243</v>
      </c>
      <c r="I204" s="247"/>
      <c r="J204" s="120"/>
    </row>
    <row r="205" spans="1:10" ht="15" customHeight="1" x14ac:dyDescent="0.35">
      <c r="A205" s="1"/>
      <c r="B205" s="253"/>
      <c r="C205" s="90" t="s">
        <v>67</v>
      </c>
      <c r="D205" s="124">
        <v>100</v>
      </c>
      <c r="E205" s="124">
        <f>0</f>
        <v>0</v>
      </c>
      <c r="F205" s="124">
        <f>16.15243</f>
        <v>16.152429999999999</v>
      </c>
      <c r="G205" s="124">
        <f>D205-F205</f>
        <v>83.847570000000005</v>
      </c>
      <c r="H205" s="124">
        <f>4.69337</f>
        <v>4.6933699999999998</v>
      </c>
      <c r="I205" s="247"/>
      <c r="J205" s="120"/>
    </row>
    <row r="206" spans="1:10" ht="15.75" customHeight="1" x14ac:dyDescent="0.3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35">
      <c r="A207" s="1"/>
      <c r="B207" s="253"/>
      <c r="C207" s="179" t="s">
        <v>87</v>
      </c>
      <c r="D207" s="190">
        <f>SUM(D204:D206)</f>
        <v>46418</v>
      </c>
      <c r="E207" s="190">
        <f>SUM(E204:E206)</f>
        <v>1507.7219299999999</v>
      </c>
      <c r="F207" s="190">
        <f>SUM(F204:F206)</f>
        <v>14994.10651</v>
      </c>
      <c r="G207" s="190">
        <f>D207-F207</f>
        <v>31423.893490000002</v>
      </c>
      <c r="H207" s="190">
        <f>SUM(H204:H206)</f>
        <v>11320.095800000001</v>
      </c>
      <c r="I207" s="247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3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35">
      <c r="A249" s="1"/>
      <c r="B249" s="253"/>
      <c r="C249" s="90" t="s">
        <v>125</v>
      </c>
      <c r="D249" s="124">
        <v>3987</v>
      </c>
      <c r="E249" s="75">
        <f>E250+E251</f>
        <v>57.739389999999993</v>
      </c>
      <c r="F249" s="75">
        <f>F250+F251</f>
        <v>2679.0802800000001</v>
      </c>
      <c r="G249" s="75">
        <f>D249-F249</f>
        <v>1307.9197199999999</v>
      </c>
      <c r="H249" s="75">
        <f>H250+H251</f>
        <v>1650.9855</v>
      </c>
      <c r="I249" s="247"/>
      <c r="J249" s="120"/>
    </row>
    <row r="250" spans="1:10" ht="15" customHeight="1" x14ac:dyDescent="0.35">
      <c r="A250" s="1"/>
      <c r="B250" s="253"/>
      <c r="C250" s="177" t="s">
        <v>8</v>
      </c>
      <c r="D250" s="124"/>
      <c r="E250" s="75">
        <f>56.13213</f>
        <v>56.132129999999997</v>
      </c>
      <c r="F250" s="75">
        <f>2212.44529</f>
        <v>2212.4452900000001</v>
      </c>
      <c r="G250" s="75"/>
      <c r="H250" s="75">
        <f>1232.73885</f>
        <v>1232.73885</v>
      </c>
      <c r="I250" s="247"/>
      <c r="J250" s="120"/>
    </row>
    <row r="251" spans="1:10" ht="15" customHeight="1" x14ac:dyDescent="0.35">
      <c r="A251" s="1"/>
      <c r="B251" s="253"/>
      <c r="C251" s="177" t="s">
        <v>67</v>
      </c>
      <c r="D251" s="124"/>
      <c r="E251" s="124">
        <f>1.60726</f>
        <v>1.6072599999999999</v>
      </c>
      <c r="F251" s="124">
        <f>466.63499</f>
        <v>466.63499000000002</v>
      </c>
      <c r="G251" s="168"/>
      <c r="H251" s="124">
        <f>418.24665</f>
        <v>418.24664999999999</v>
      </c>
      <c r="I251" s="247"/>
      <c r="J251" s="120"/>
    </row>
    <row r="252" spans="1:10" ht="15" customHeight="1" x14ac:dyDescent="0.35">
      <c r="A252" s="1"/>
      <c r="B252" s="253"/>
      <c r="C252" s="90" t="s">
        <v>126</v>
      </c>
      <c r="D252" s="124">
        <v>4613</v>
      </c>
      <c r="E252" s="75">
        <f>162.93326</f>
        <v>162.93325999999999</v>
      </c>
      <c r="F252" s="75">
        <f>3946.65399</f>
        <v>3946.6539899999998</v>
      </c>
      <c r="G252" s="75">
        <f>D252-F252</f>
        <v>666.34601000000021</v>
      </c>
      <c r="H252" s="75">
        <f>3608.45577</f>
        <v>3608.45577</v>
      </c>
      <c r="I252" s="247"/>
      <c r="J252" s="120"/>
    </row>
    <row r="253" spans="1:10" ht="16.5" customHeight="1" x14ac:dyDescent="0.35">
      <c r="A253" s="1"/>
      <c r="B253" s="253"/>
      <c r="C253" s="179" t="s">
        <v>87</v>
      </c>
      <c r="D253" s="190">
        <f>D252+D249</f>
        <v>8600</v>
      </c>
      <c r="E253" s="190">
        <f>SUM(E249,E252)</f>
        <v>220.67264999999998</v>
      </c>
      <c r="F253" s="190">
        <f>SUM(F249,F252)</f>
        <v>6625.7342699999999</v>
      </c>
      <c r="G253" s="190">
        <f>D253-F253</f>
        <v>1974.2657300000001</v>
      </c>
      <c r="H253" s="190">
        <f>SUM(H249,H252)</f>
        <v>5259.4412700000003</v>
      </c>
      <c r="I253" s="247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3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35">
      <c r="A295" s="1"/>
      <c r="B295" s="253"/>
      <c r="C295" s="90" t="s">
        <v>125</v>
      </c>
      <c r="D295" s="124">
        <v>5090</v>
      </c>
      <c r="E295" s="75">
        <f>E296+E297</f>
        <v>148.49729000000002</v>
      </c>
      <c r="F295" s="75">
        <f>F296+F297</f>
        <v>2706.2567099999997</v>
      </c>
      <c r="G295" s="75">
        <f>D295-F295</f>
        <v>2383.7432900000003</v>
      </c>
      <c r="H295" s="75">
        <f>H296+H297</f>
        <v>1600.1664799999999</v>
      </c>
      <c r="I295" s="247"/>
      <c r="J295" s="120"/>
    </row>
    <row r="296" spans="1:10" ht="15" customHeight="1" x14ac:dyDescent="0.35">
      <c r="A296" s="1"/>
      <c r="B296" s="253"/>
      <c r="C296" s="177" t="s">
        <v>8</v>
      </c>
      <c r="D296" s="124"/>
      <c r="E296" s="75">
        <f>147.01919</f>
        <v>147.01919000000001</v>
      </c>
      <c r="F296" s="75">
        <f>2340.97502</f>
        <v>2340.9750199999999</v>
      </c>
      <c r="G296" s="75"/>
      <c r="H296" s="75">
        <f>1289.02373</f>
        <v>1289.0237299999999</v>
      </c>
      <c r="I296" s="247"/>
      <c r="J296" s="120"/>
    </row>
    <row r="297" spans="1:10" ht="15" customHeight="1" x14ac:dyDescent="0.35">
      <c r="A297" s="1"/>
      <c r="B297" s="253"/>
      <c r="C297" s="177" t="s">
        <v>67</v>
      </c>
      <c r="D297" s="124"/>
      <c r="E297" s="124">
        <f>1.4781</f>
        <v>1.4781</v>
      </c>
      <c r="F297" s="124">
        <f>365.28169</f>
        <v>365.28169000000003</v>
      </c>
      <c r="G297" s="168"/>
      <c r="H297" s="124">
        <f>311.14275</f>
        <v>311.14274999999998</v>
      </c>
      <c r="I297" s="247"/>
      <c r="J297" s="120"/>
    </row>
    <row r="298" spans="1:10" ht="15" customHeight="1" x14ac:dyDescent="0.35">
      <c r="A298" s="1"/>
      <c r="B298" s="253"/>
      <c r="C298" s="90" t="s">
        <v>126</v>
      </c>
      <c r="D298" s="124">
        <v>2981</v>
      </c>
      <c r="E298" s="75">
        <f>40.82586</f>
        <v>40.825859999999999</v>
      </c>
      <c r="F298" s="75">
        <f>1762.5711</f>
        <v>1762.5710999999999</v>
      </c>
      <c r="G298" s="75">
        <f>D298-F298</f>
        <v>1218.4289000000001</v>
      </c>
      <c r="H298" s="75">
        <f>1768.27854</f>
        <v>1768.27854</v>
      </c>
      <c r="I298" s="247"/>
      <c r="J298" s="120"/>
    </row>
    <row r="299" spans="1:10" ht="16.5" customHeight="1" x14ac:dyDescent="0.35">
      <c r="A299" s="1"/>
      <c r="B299" s="253"/>
      <c r="C299" s="179" t="s">
        <v>87</v>
      </c>
      <c r="D299" s="190">
        <f>D298+D295</f>
        <v>8071</v>
      </c>
      <c r="E299" s="190">
        <f>SUM(E295,E298)</f>
        <v>189.32315000000003</v>
      </c>
      <c r="F299" s="190">
        <f>SUM(F295,F298)</f>
        <v>4468.8278099999998</v>
      </c>
      <c r="G299" s="190">
        <f>D299-F299</f>
        <v>3602.1721900000002</v>
      </c>
      <c r="H299" s="190">
        <f>SUM(H295,H298)</f>
        <v>3368.4450200000001</v>
      </c>
      <c r="I299" s="247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29" customHeight="1" x14ac:dyDescent="0.3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3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3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5" customHeight="1" x14ac:dyDescent="0.3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5" customHeight="1" x14ac:dyDescent="0.3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3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3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5" customHeight="1" x14ac:dyDescent="0.3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3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9.83544</f>
        <v>9.8354400000000002</v>
      </c>
      <c r="F350" s="124">
        <f>278.4417</f>
        <v>278.44170000000003</v>
      </c>
      <c r="G350" s="124">
        <f>D350-F350</f>
        <v>521.55829999999992</v>
      </c>
      <c r="H350" s="124">
        <f>187.44324</f>
        <v>187.44324</v>
      </c>
      <c r="I350" s="67"/>
      <c r="J350" s="243"/>
    </row>
    <row r="351" spans="1:10" ht="14.15" customHeight="1" x14ac:dyDescent="0.35">
      <c r="A351" s="1"/>
      <c r="B351" s="253"/>
      <c r="C351" s="90" t="s">
        <v>94</v>
      </c>
      <c r="D351" s="245">
        <v>3041</v>
      </c>
      <c r="E351" s="124">
        <f>23.14821</f>
        <v>23.148209999999999</v>
      </c>
      <c r="F351" s="124">
        <f>515.78024</f>
        <v>515.78024000000005</v>
      </c>
      <c r="G351" s="124">
        <f>D351-F351</f>
        <v>2525.21976</v>
      </c>
      <c r="H351" s="124">
        <f>531.99427</f>
        <v>531.99427000000003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0.6352</f>
        <v>0.63519999999999999</v>
      </c>
      <c r="I352" s="67"/>
      <c r="J352" s="248"/>
    </row>
    <row r="353" spans="1:10" ht="18.75" customHeight="1" x14ac:dyDescent="0.35">
      <c r="A353" s="67"/>
      <c r="B353" s="249"/>
      <c r="C353" s="146" t="s">
        <v>95</v>
      </c>
      <c r="D353" s="221"/>
      <c r="E353" s="168">
        <f>0.024</f>
        <v>2.4E-2</v>
      </c>
      <c r="F353" s="168">
        <f>0.071</f>
        <v>7.0999999999999994E-2</v>
      </c>
      <c r="G353" s="124">
        <f>D353-F353</f>
        <v>-7.0999999999999994E-2</v>
      </c>
      <c r="H353" s="168">
        <f>1.62624</f>
        <v>1.6262399999999999</v>
      </c>
      <c r="I353" s="283"/>
      <c r="J353" s="120"/>
    </row>
    <row r="354" spans="1:10" ht="14.15" customHeight="1" x14ac:dyDescent="0.35">
      <c r="A354" s="1"/>
      <c r="B354" s="253"/>
      <c r="C354" s="179" t="s">
        <v>87</v>
      </c>
      <c r="D354" s="6">
        <f>D339</f>
        <v>3851</v>
      </c>
      <c r="E354" s="190">
        <f>SUM(E350:E353)</f>
        <v>33.007649999999998</v>
      </c>
      <c r="F354" s="190">
        <f>SUM(F350:F353)</f>
        <v>794.90300000000013</v>
      </c>
      <c r="G354" s="190">
        <f>D354-F354</f>
        <v>3056.0969999999998</v>
      </c>
      <c r="H354" s="190">
        <f>H350+H351+H352+H353</f>
        <v>721.69895000000008</v>
      </c>
      <c r="I354" s="1"/>
      <c r="J354" s="120"/>
    </row>
    <row r="355" spans="1:10" ht="14.15" customHeight="1" x14ac:dyDescent="0.3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116</v>
      </c>
    </row>
    <row r="358" spans="1:10" ht="14.15" customHeight="1" x14ac:dyDescent="0.35">
      <c r="A358" s="1" t="s">
        <v>116</v>
      </c>
    </row>
    <row r="359" spans="1:10" ht="14.15" customHeight="1" x14ac:dyDescent="0.35">
      <c r="A359" s="1" t="s">
        <v>116</v>
      </c>
    </row>
    <row r="360" spans="1:10" ht="14.15" customHeight="1" x14ac:dyDescent="0.35">
      <c r="A360" s="1"/>
      <c r="C360" s="150" t="s">
        <v>116</v>
      </c>
    </row>
    <row r="361" spans="1:10" x14ac:dyDescent="0.35">
      <c r="A361" s="1"/>
      <c r="C361" s="150" t="s">
        <v>116</v>
      </c>
    </row>
    <row r="362" spans="1:10" ht="14.15" customHeight="1" x14ac:dyDescent="0.35">
      <c r="A362" s="1"/>
      <c r="C362" s="150" t="s">
        <v>116</v>
      </c>
    </row>
    <row r="363" spans="1:10" ht="14.15" customHeight="1" x14ac:dyDescent="0.35">
      <c r="A363" s="1"/>
      <c r="C363" s="150" t="s">
        <v>116</v>
      </c>
    </row>
    <row r="364" spans="1:10" ht="30" customHeight="1" x14ac:dyDescent="0.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4" customHeight="1" x14ac:dyDescent="0.3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3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3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5" customHeight="1" x14ac:dyDescent="0.3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108.94279999999999</v>
      </c>
      <c r="G380" s="252">
        <f t="shared" si="17"/>
        <v>6214.6143100000008</v>
      </c>
      <c r="H380" s="252">
        <f>H384+H383+H382+H381</f>
        <v>16754.385689999999</v>
      </c>
      <c r="I380" s="252">
        <f t="shared" si="17"/>
        <v>4173.2198099999996</v>
      </c>
      <c r="J380" s="130"/>
    </row>
    <row r="381" spans="1:10" ht="14.15" customHeight="1" x14ac:dyDescent="0.35">
      <c r="A381" s="217"/>
      <c r="B381" s="72"/>
      <c r="C381" s="254" t="s">
        <v>104</v>
      </c>
      <c r="D381" s="255">
        <v>12051</v>
      </c>
      <c r="E381" s="255">
        <v>13190</v>
      </c>
      <c r="F381" s="256">
        <f>22.545</f>
        <v>22.545000000000002</v>
      </c>
      <c r="G381" s="256">
        <f>3987.06491</f>
        <v>3987.0649100000001</v>
      </c>
      <c r="H381" s="256">
        <f t="shared" ref="H381:H385" si="18">E381-G381</f>
        <v>9202.935089999999</v>
      </c>
      <c r="I381" s="256">
        <f>1953.44012</f>
        <v>1953.44012</v>
      </c>
      <c r="J381" s="130"/>
    </row>
    <row r="382" spans="1:10" ht="14.15" customHeight="1" x14ac:dyDescent="0.3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832.04145</f>
        <v>832.04145000000005</v>
      </c>
      <c r="H382" s="256">
        <f t="shared" si="18"/>
        <v>2600.9585499999998</v>
      </c>
      <c r="I382" s="256">
        <f>764.7831</f>
        <v>764.78309999999999</v>
      </c>
      <c r="J382" s="130"/>
    </row>
    <row r="383" spans="1:10" ht="14.15" customHeight="1" x14ac:dyDescent="0.35">
      <c r="A383" s="217"/>
      <c r="B383" s="72"/>
      <c r="C383" s="259" t="s">
        <v>100</v>
      </c>
      <c r="D383" s="255">
        <v>1454</v>
      </c>
      <c r="E383" s="255">
        <v>1483</v>
      </c>
      <c r="F383" s="256">
        <f>47.6202</f>
        <v>47.620199999999997</v>
      </c>
      <c r="G383" s="256">
        <f>1034.75149</f>
        <v>1034.7514900000001</v>
      </c>
      <c r="H383" s="256">
        <f t="shared" si="18"/>
        <v>448.2485099999999</v>
      </c>
      <c r="I383" s="256">
        <f>1086.16489</f>
        <v>1086.16489</v>
      </c>
      <c r="J383" s="130"/>
    </row>
    <row r="384" spans="1:10" ht="14.15" customHeight="1" x14ac:dyDescent="0.35">
      <c r="A384" s="217"/>
      <c r="B384" s="72"/>
      <c r="C384" s="261" t="s">
        <v>105</v>
      </c>
      <c r="D384" s="262">
        <v>4867</v>
      </c>
      <c r="E384" s="262">
        <v>4863</v>
      </c>
      <c r="F384" s="256">
        <f>38.7776</f>
        <v>38.7776</v>
      </c>
      <c r="G384" s="256">
        <f>360.75646</f>
        <v>360.75646</v>
      </c>
      <c r="H384" s="256">
        <f t="shared" si="18"/>
        <v>4502.2435400000004</v>
      </c>
      <c r="I384" s="256">
        <f>368.8317</f>
        <v>368.83170000000001</v>
      </c>
      <c r="J384" s="130"/>
    </row>
    <row r="385" spans="1:10" ht="14.15" customHeight="1" x14ac:dyDescent="0.35">
      <c r="A385" s="217"/>
      <c r="B385" s="72"/>
      <c r="C385" s="264" t="s">
        <v>59</v>
      </c>
      <c r="D385" s="265">
        <v>5500</v>
      </c>
      <c r="E385" s="265">
        <v>5500</v>
      </c>
      <c r="F385" s="267">
        <f>289.52982</f>
        <v>289.52981999999997</v>
      </c>
      <c r="G385" s="267">
        <f>1765.45724</f>
        <v>1765.45724</v>
      </c>
      <c r="H385" s="267">
        <f t="shared" si="18"/>
        <v>3734.5427600000003</v>
      </c>
      <c r="I385" s="267">
        <f>4422.93654</f>
        <v>4422.9365399999997</v>
      </c>
      <c r="J385" s="130"/>
    </row>
    <row r="386" spans="1:10" ht="14.15" customHeight="1" x14ac:dyDescent="0.3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13.598940000000001</v>
      </c>
      <c r="G386" s="268">
        <f>G388+G387</f>
        <v>1399.4001900000001</v>
      </c>
      <c r="H386" s="268">
        <f>E386-G386</f>
        <v>6600.5998099999997</v>
      </c>
      <c r="I386" s="268">
        <f>I388+I387</f>
        <v>1725.79024</v>
      </c>
      <c r="J386" s="130"/>
    </row>
    <row r="387" spans="1:10" ht="14.15" customHeight="1" x14ac:dyDescent="0.35">
      <c r="A387" s="217"/>
      <c r="B387" s="72"/>
      <c r="C387" s="259" t="s">
        <v>53</v>
      </c>
      <c r="D387" s="270"/>
      <c r="E387" s="255"/>
      <c r="F387" s="256">
        <f>1.8688</f>
        <v>1.8688</v>
      </c>
      <c r="G387" s="256">
        <f>522.50076</f>
        <v>522.50076000000001</v>
      </c>
      <c r="H387" s="256"/>
      <c r="I387" s="256">
        <f>747.24955</f>
        <v>747.24955</v>
      </c>
      <c r="J387" s="130"/>
    </row>
    <row r="388" spans="1:10" ht="14.15" customHeight="1" x14ac:dyDescent="0.35">
      <c r="A388" s="217"/>
      <c r="B388" s="72"/>
      <c r="C388" s="272" t="s">
        <v>106</v>
      </c>
      <c r="D388" s="273"/>
      <c r="E388" s="276"/>
      <c r="F388" s="277">
        <f>11.73014</f>
        <v>11.73014</v>
      </c>
      <c r="G388" s="277">
        <f>876.89943</f>
        <v>876.89943000000005</v>
      </c>
      <c r="H388" s="277"/>
      <c r="I388" s="277">
        <f>978.54069</f>
        <v>978.54069000000004</v>
      </c>
      <c r="J388" s="130"/>
    </row>
    <row r="389" spans="1:10" ht="14.15" customHeight="1" x14ac:dyDescent="0.3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5" customHeight="1" x14ac:dyDescent="0.35">
      <c r="A390" s="217"/>
      <c r="B390" s="72"/>
      <c r="C390" s="278" t="s">
        <v>107</v>
      </c>
      <c r="D390" s="281"/>
      <c r="E390" s="282"/>
      <c r="F390" s="267">
        <f>0.3278</f>
        <v>0.32779999999999998</v>
      </c>
      <c r="G390" s="267">
        <f>5.00548</f>
        <v>5.0054800000000004</v>
      </c>
      <c r="H390" s="267">
        <f>E390-G390</f>
        <v>-5.0054800000000004</v>
      </c>
      <c r="I390" s="267">
        <f>23.88096</f>
        <v>23.880960000000002</v>
      </c>
      <c r="J390" s="130"/>
    </row>
    <row r="391" spans="1:10" ht="19.5" customHeight="1" x14ac:dyDescent="0.3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412.39936</v>
      </c>
      <c r="G391" s="286">
        <f t="shared" si="19"/>
        <v>9384.5036200000013</v>
      </c>
      <c r="H391" s="286">
        <f>H380+H385+H386+H389+H390</f>
        <v>27097.49638</v>
      </c>
      <c r="I391" s="286">
        <f t="shared" si="19"/>
        <v>10345.89265</v>
      </c>
      <c r="J391" s="130"/>
    </row>
    <row r="392" spans="1:10" ht="14.15" customHeight="1" x14ac:dyDescent="0.3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5" customHeight="1" x14ac:dyDescent="0.3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5" customHeight="1" x14ac:dyDescent="0.3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3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66.5" customHeight="1" x14ac:dyDescent="0.3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21.5" customHeight="1" x14ac:dyDescent="0.35">
      <c r="A398" s="217"/>
      <c r="C398" s="150" t="s">
        <v>116</v>
      </c>
      <c r="D398" s="156"/>
    </row>
    <row r="399" spans="1:10" ht="14.15" customHeight="1" x14ac:dyDescent="0.3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5" customHeight="1" x14ac:dyDescent="0.3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5" customHeight="1" x14ac:dyDescent="0.3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5" customHeight="1" x14ac:dyDescent="0.3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5" customHeight="1" x14ac:dyDescent="0.3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3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5" customHeight="1" x14ac:dyDescent="0.3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5" customHeight="1" x14ac:dyDescent="0.3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5" customHeight="1" x14ac:dyDescent="0.3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5" customHeight="1" x14ac:dyDescent="0.3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5" customHeight="1" x14ac:dyDescent="0.3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5" customHeight="1" x14ac:dyDescent="0.3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5" customHeight="1" x14ac:dyDescent="0.35">
      <c r="A419" s="217"/>
      <c r="B419" s="72"/>
      <c r="C419" s="264" t="s">
        <v>115</v>
      </c>
      <c r="D419" s="10">
        <v>1235</v>
      </c>
      <c r="E419" s="36">
        <f>SUM(E420:E421)</f>
        <v>69.34550999999999</v>
      </c>
      <c r="F419" s="36">
        <f>SUM(F420:F421)</f>
        <v>953.15320999999994</v>
      </c>
      <c r="G419" s="85">
        <f>D419-F419</f>
        <v>281.84679000000006</v>
      </c>
      <c r="H419" s="36">
        <f>SUM(H420:H421)</f>
        <v>1340.8402700000001</v>
      </c>
      <c r="I419" s="150"/>
      <c r="J419" s="130"/>
    </row>
    <row r="420" spans="1:10" ht="14.15" customHeight="1" x14ac:dyDescent="0.35">
      <c r="A420" s="217"/>
      <c r="B420" s="72"/>
      <c r="C420" s="29" t="s">
        <v>8</v>
      </c>
      <c r="D420" s="42"/>
      <c r="E420" s="30">
        <f>55.5575</f>
        <v>55.557499999999997</v>
      </c>
      <c r="F420" s="30">
        <f>676.04324</f>
        <v>676.04323999999997</v>
      </c>
      <c r="G420" s="97"/>
      <c r="H420" s="30">
        <f>967.15318</f>
        <v>967.15318000000002</v>
      </c>
      <c r="I420" s="150"/>
      <c r="J420" s="130"/>
    </row>
    <row r="421" spans="1:10" ht="14.15" customHeight="1" x14ac:dyDescent="0.35">
      <c r="A421" s="217"/>
      <c r="B421" s="72"/>
      <c r="C421" s="29" t="s">
        <v>11</v>
      </c>
      <c r="D421" s="220"/>
      <c r="E421" s="30">
        <f>13.78801</f>
        <v>13.78801</v>
      </c>
      <c r="F421" s="30">
        <f>277.10997</f>
        <v>277.10996999999998</v>
      </c>
      <c r="G421" s="108"/>
      <c r="H421" s="30">
        <f>373.68709</f>
        <v>373.68709000000001</v>
      </c>
      <c r="I421" s="150"/>
      <c r="J421" s="130"/>
    </row>
    <row r="422" spans="1:10" ht="14.15" customHeight="1" x14ac:dyDescent="0.3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7"/>
      <c r="B423" s="72"/>
      <c r="C423" s="284" t="s">
        <v>87</v>
      </c>
      <c r="D423" s="39"/>
      <c r="E423" s="40">
        <f>E413+E416+E419+E422</f>
        <v>69.34550999999999</v>
      </c>
      <c r="F423" s="40">
        <f>F413+F416+F419+F422</f>
        <v>3163.5534199999997</v>
      </c>
      <c r="G423" s="41"/>
      <c r="H423" s="40">
        <f>H413+H416+H419+H422</f>
        <v>5072.88393</v>
      </c>
      <c r="I423" s="27"/>
      <c r="J423" s="130"/>
    </row>
    <row r="424" spans="1:10" ht="42" customHeight="1" x14ac:dyDescent="0.3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21&amp;R27.05.2024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2024-05-27T07:20:59Z</dcterms:modified>
</cp:coreProperties>
</file>