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FE4A3C97-F077-4146-BDA3-8D08103765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331" i="1"/>
  <c r="H329" i="1"/>
  <c r="F329" i="1"/>
  <c r="E329" i="1"/>
  <c r="H328" i="1"/>
  <c r="H327" i="1" s="1"/>
  <c r="F328" i="1"/>
  <c r="F327" i="1" s="1"/>
  <c r="G327" i="1" s="1"/>
  <c r="E328" i="1"/>
  <c r="E327" i="1" s="1"/>
  <c r="H326" i="1"/>
  <c r="F326" i="1"/>
  <c r="E326" i="1"/>
  <c r="H325" i="1"/>
  <c r="F325" i="1"/>
  <c r="F324" i="1" s="1"/>
  <c r="G324" i="1" s="1"/>
  <c r="E325" i="1"/>
  <c r="E324" i="1" s="1"/>
  <c r="H324" i="1"/>
  <c r="H323" i="1"/>
  <c r="H321" i="1" s="1"/>
  <c r="H331" i="1" s="1"/>
  <c r="F323" i="1"/>
  <c r="E323" i="1"/>
  <c r="E321" i="1" s="1"/>
  <c r="E331" i="1" s="1"/>
  <c r="H322" i="1"/>
  <c r="F322" i="1"/>
  <c r="E322" i="1"/>
  <c r="F321" i="1"/>
  <c r="D299" i="1"/>
  <c r="I298" i="1"/>
  <c r="G298" i="1"/>
  <c r="H298" i="1" s="1"/>
  <c r="F298" i="1"/>
  <c r="I297" i="1"/>
  <c r="G297" i="1"/>
  <c r="H297" i="1" s="1"/>
  <c r="F297" i="1"/>
  <c r="I296" i="1"/>
  <c r="I294" i="1" s="1"/>
  <c r="G296" i="1"/>
  <c r="F296" i="1"/>
  <c r="F294" i="1" s="1"/>
  <c r="I295" i="1"/>
  <c r="G295" i="1"/>
  <c r="F295" i="1"/>
  <c r="G294" i="1"/>
  <c r="H294" i="1" s="1"/>
  <c r="I293" i="1"/>
  <c r="G293" i="1"/>
  <c r="H293" i="1" s="1"/>
  <c r="F293" i="1"/>
  <c r="I292" i="1"/>
  <c r="G292" i="1"/>
  <c r="H292" i="1" s="1"/>
  <c r="F292" i="1"/>
  <c r="I291" i="1"/>
  <c r="I288" i="1" s="1"/>
  <c r="G291" i="1"/>
  <c r="H291" i="1" s="1"/>
  <c r="F291" i="1"/>
  <c r="F288" i="1" s="1"/>
  <c r="I290" i="1"/>
  <c r="G290" i="1"/>
  <c r="H290" i="1" s="1"/>
  <c r="F290" i="1"/>
  <c r="I289" i="1"/>
  <c r="G289" i="1"/>
  <c r="H289" i="1" s="1"/>
  <c r="F289" i="1"/>
  <c r="E288" i="1"/>
  <c r="E299" i="1" s="1"/>
  <c r="D288" i="1"/>
  <c r="H280" i="1"/>
  <c r="F280" i="1"/>
  <c r="D262" i="1"/>
  <c r="H261" i="1"/>
  <c r="F261" i="1"/>
  <c r="E261" i="1"/>
  <c r="H260" i="1"/>
  <c r="F260" i="1"/>
  <c r="G260" i="1" s="1"/>
  <c r="E260" i="1"/>
  <c r="H259" i="1"/>
  <c r="F259" i="1"/>
  <c r="G259" i="1" s="1"/>
  <c r="E259" i="1"/>
  <c r="H258" i="1"/>
  <c r="H262" i="1" s="1"/>
  <c r="F258" i="1"/>
  <c r="G258" i="1" s="1"/>
  <c r="E258" i="1"/>
  <c r="E262" i="1" s="1"/>
  <c r="D251" i="1"/>
  <c r="D207" i="1"/>
  <c r="G206" i="1"/>
  <c r="H205" i="1"/>
  <c r="G205" i="1"/>
  <c r="F205" i="1"/>
  <c r="E205" i="1"/>
  <c r="H204" i="1"/>
  <c r="H207" i="1" s="1"/>
  <c r="F204" i="1"/>
  <c r="F207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 s="1"/>
  <c r="H177" i="1"/>
  <c r="G177" i="1"/>
  <c r="F177" i="1"/>
  <c r="E177" i="1"/>
  <c r="H176" i="1"/>
  <c r="F176" i="1"/>
  <c r="E176" i="1"/>
  <c r="H175" i="1"/>
  <c r="F175" i="1"/>
  <c r="E175" i="1"/>
  <c r="E184" i="1" s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G140" i="1"/>
  <c r="G139" i="1" s="1"/>
  <c r="F140" i="1"/>
  <c r="F139" i="1" s="1"/>
  <c r="I139" i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I134" i="1"/>
  <c r="I133" i="1" s="1"/>
  <c r="G134" i="1"/>
  <c r="F134" i="1"/>
  <c r="E134" i="1"/>
  <c r="E133" i="1"/>
  <c r="I132" i="1"/>
  <c r="F132" i="1"/>
  <c r="H131" i="1"/>
  <c r="I130" i="1"/>
  <c r="G130" i="1"/>
  <c r="H130" i="1" s="1"/>
  <c r="F130" i="1"/>
  <c r="I129" i="1"/>
  <c r="I128" i="1" s="1"/>
  <c r="I150" i="1" s="1"/>
  <c r="G129" i="1"/>
  <c r="H129" i="1" s="1"/>
  <c r="H128" i="1" s="1"/>
  <c r="F129" i="1"/>
  <c r="G128" i="1"/>
  <c r="F128" i="1"/>
  <c r="E128" i="1"/>
  <c r="E150" i="1" s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F96" i="1" s="1"/>
  <c r="F95" i="1" s="1"/>
  <c r="I97" i="1"/>
  <c r="I96" i="1" s="1"/>
  <c r="I95" i="1" s="1"/>
  <c r="G97" i="1"/>
  <c r="H97" i="1" s="1"/>
  <c r="F97" i="1"/>
  <c r="E96" i="1"/>
  <c r="E95" i="1" s="1"/>
  <c r="E107" i="1" s="1"/>
  <c r="D96" i="1"/>
  <c r="D95" i="1"/>
  <c r="D107" i="1" s="1"/>
  <c r="I94" i="1"/>
  <c r="G94" i="1"/>
  <c r="H94" i="1" s="1"/>
  <c r="F94" i="1"/>
  <c r="I93" i="1"/>
  <c r="G93" i="1"/>
  <c r="H93" i="1" s="1"/>
  <c r="F93" i="1"/>
  <c r="F92" i="1" s="1"/>
  <c r="F107" i="1" s="1"/>
  <c r="I92" i="1"/>
  <c r="I107" i="1" s="1"/>
  <c r="G92" i="1"/>
  <c r="E92" i="1"/>
  <c r="C89" i="1"/>
  <c r="H85" i="1"/>
  <c r="F85" i="1"/>
  <c r="D85" i="1"/>
  <c r="G61" i="1"/>
  <c r="G60" i="1"/>
  <c r="H55" i="1"/>
  <c r="F55" i="1"/>
  <c r="G55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3" i="1"/>
  <c r="G33" i="1"/>
  <c r="H33" i="1" s="1"/>
  <c r="F33" i="1"/>
  <c r="I32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H23" i="1" s="1"/>
  <c r="F25" i="1"/>
  <c r="I24" i="1"/>
  <c r="I23" i="1" s="1"/>
  <c r="G24" i="1"/>
  <c r="H24" i="1" s="1"/>
  <c r="F24" i="1"/>
  <c r="F23" i="1"/>
  <c r="H16" i="1"/>
  <c r="F16" i="1"/>
  <c r="D16" i="1"/>
  <c r="F34" i="1" l="1"/>
  <c r="I27" i="1"/>
  <c r="I34" i="1"/>
  <c r="G34" i="1"/>
  <c r="H34" i="1" s="1"/>
  <c r="G133" i="1"/>
  <c r="H288" i="1"/>
  <c r="H299" i="1" s="1"/>
  <c r="H96" i="1"/>
  <c r="H95" i="1" s="1"/>
  <c r="G207" i="1"/>
  <c r="F331" i="1"/>
  <c r="H27" i="1"/>
  <c r="H26" i="1" s="1"/>
  <c r="H44" i="1" s="1"/>
  <c r="H92" i="1"/>
  <c r="H107" i="1" s="1"/>
  <c r="F150" i="1"/>
  <c r="F184" i="1"/>
  <c r="G184" i="1" s="1"/>
  <c r="H134" i="1"/>
  <c r="F133" i="1"/>
  <c r="F299" i="1"/>
  <c r="F27" i="1"/>
  <c r="F26" i="1" s="1"/>
  <c r="F44" i="1" s="1"/>
  <c r="G107" i="1"/>
  <c r="G150" i="1"/>
  <c r="H184" i="1"/>
  <c r="I299" i="1"/>
  <c r="G96" i="1"/>
  <c r="G95" i="1" s="1"/>
  <c r="G204" i="1"/>
  <c r="F262" i="1"/>
  <c r="G262" i="1" s="1"/>
  <c r="G288" i="1"/>
  <c r="G299" i="1" s="1"/>
  <c r="H140" i="1"/>
  <c r="H139" i="1" s="1"/>
  <c r="G175" i="1"/>
  <c r="G321" i="1"/>
  <c r="G331" i="1" s="1"/>
  <c r="G23" i="1"/>
  <c r="G27" i="1"/>
  <c r="G26" i="1" s="1"/>
  <c r="I26" i="1" l="1"/>
  <c r="I44" i="1" s="1"/>
  <c r="G44" i="1"/>
  <c r="H133" i="1"/>
  <c r="H150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<sst xmlns="http://schemas.openxmlformats.org/spreadsheetml/2006/main" count="330" uniqueCount="148">
  <si>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</si>
  <si>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</si>
  <si>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</si>
  <si>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</si>
  <si>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</si>
  <si>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</si>
  <si>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</si>
  <si>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</si>
  <si>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</si>
  <si>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</si>
  <si>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</si>
  <si>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</si>
  <si>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</si>
  <si>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</si>
  <si>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</si>
  <si>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</si>
  <si>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</si>
  <si>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</si>
  <si>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</si>
  <si>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</si>
  <si>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</si>
  <si>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</si>
  <si>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</si>
  <si>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</si>
  <si>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</si>
  <si>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</si>
  <si>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</si>
  <si>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</si>
  <si>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</si>
  <si>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</si>
  <si>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</si>
  <si>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</si>
  <si>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</si>
  <si>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</si>
  <si>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</si>
  <si>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</si>
  <si>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</si>
  <si>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</si>
  <si>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</si>
  <si>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</si>
  <si>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</si>
  <si>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</si>
  <si>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</si>
  <si>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</si>
  <si>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</si>
  <si>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</si>
  <si>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</si>
  <si>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</si>
  <si>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</si>
  <si>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</si>
  <si>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</si>
  <si>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</si>
  <si>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</si>
  <si>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</si>
  <si>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</si>
  <si>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</si>
  <si>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</si>
  <si>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</si>
  <si>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</si>
  <si>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</si>
  <si>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</si>
  <si>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</si>
  <si>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</si>
  <si>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</si>
  <si>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</si>
  <si>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</si>
  <si>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</si>
  <si>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</si>
  <si>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</si>
  <si>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</si>
  <si>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</si>
  <si>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</si>
  <si>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</si>
  <si>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</si>
  <si>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</si>
  <si>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</si>
  <si>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</si>
  <si>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</si>
  <si>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</si>
  <si>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</si>
  <si>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</si>
  <si>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</si>
  <si>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</si>
  <si>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</si>
  <si>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</si>
  <si>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</si>
  <si>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</si>
  <si>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</si>
  <si>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</si>
  <si>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</si>
  <si>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</si>
  <si>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</si>
  <si>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</si>
  <si>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</si>
  <si>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</si>
  <si>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</si>
  <si>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</si>
  <si>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</si>
  <si>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</si>
  <si>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</si>
  <si>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</si>
  <si>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</si>
  <si>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</si>
  <si>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</si>
  <si>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</si>
  <si>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</si>
  <si>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</si>
  <si>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</si>
  <si>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</si>
  <si>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</si>
  <si>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</si>
  <si>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</si>
  <si>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</si>
  <si>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</si>
  <si>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</si>
  <si>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</si>
  <si>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</si>
  <si>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</si>
  <si>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</si>
  <si>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</si>
  <si>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</si>
  <si>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</si>
  <si>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</si>
  <si>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</si>
  <si>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</si>
  <si>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</si>
  <si>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</si>
  <si>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</si>
  <si>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</si>
  <si>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</si>
  <si>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</si>
  <si>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</si>
  <si>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</si>
  <si>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</si>
  <si>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</si>
  <si>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</si>
  <si>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</si>
  <si>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</si>
  <si>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</si>
  <si>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</si>
  <si>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18</t>
  </si>
  <si>
    <t>FANGST T.O.M UKE 18</t>
  </si>
  <si>
    <t>RESTKVOTER UKE 18</t>
  </si>
  <si>
    <t>FANGST T.O.M UKE 18 2022</t>
  </si>
  <si>
    <r>
      <t>3</t>
    </r>
    <r>
      <rPr>
        <sz val="9"/>
        <color indexed="8"/>
        <rFont val="Calibri"/>
        <family val="2"/>
      </rPr>
      <t xml:space="preserve"> Det er fisket 1 306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</si>
  <si>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447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</si>
  <si>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40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</si>
  <si>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202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</si>
</sst>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919.90649999999994</v>
      </c>
      <c r="G23" s="28">
        <f t="shared" si="0"/>
        <v>38604.868139999999</v>
      </c>
      <c r="H23" s="11">
        <f t="shared" si="0"/>
        <v>48222.131860000001</v>
      </c>
      <c r="I23" s="11">
        <f t="shared" si="0"/>
        <v>48996.638299999999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918.9525</f>
        <v>918.95249999999999</v>
      </c>
      <c r="G24" s="23">
        <f>38413.22565</f>
        <v>38413.22565</v>
      </c>
      <c r="H24" s="23">
        <f>E24-G24</f>
        <v>47631.77435</v>
      </c>
      <c r="I24" s="23">
        <f>48719.87283</f>
        <v>48719.87283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0.954</f>
        <v>0.95399999999999996</v>
      </c>
      <c r="G25" s="23">
        <f>191.64249</f>
        <v>191.64249000000001</v>
      </c>
      <c r="H25" s="23">
        <f>E25-G25</f>
        <v>590.35751000000005</v>
      </c>
      <c r="I25" s="23">
        <f>276.76547</f>
        <v>276.76546999999999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2798.8025200000002</v>
      </c>
      <c r="G26" s="11">
        <f t="shared" si="1"/>
        <v>152105.19565000001</v>
      </c>
      <c r="H26" s="11">
        <f t="shared" si="1"/>
        <v>45464.804349999999</v>
      </c>
      <c r="I26" s="11">
        <f t="shared" si="1"/>
        <v>181400.33791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2165.4976799999999</v>
      </c>
      <c r="G27" s="134">
        <f t="shared" ref="G27:I27" si="2">G28+G29+G30+G31+G32</f>
        <v>122787.59531</v>
      </c>
      <c r="H27" s="134">
        <f t="shared" si="2"/>
        <v>29863.404689999999</v>
      </c>
      <c r="I27" s="134">
        <f t="shared" si="2"/>
        <v>152003.72519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562.82334</f>
        <v>562.82334000000003</v>
      </c>
      <c r="G28" s="129">
        <f>34259.08998 - F57</f>
        <v>34259.089979999997</v>
      </c>
      <c r="H28" s="129">
        <f t="shared" ref="H28:H40" si="3">E28-G28</f>
        <v>5289.910020000003</v>
      </c>
      <c r="I28" s="129">
        <f>39125.88998 - H57</f>
        <v>39125.88998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565.87556</f>
        <v>565.87555999999995</v>
      </c>
      <c r="G29" s="129">
        <f>35026.75398 - F58</f>
        <v>35026.753980000001</v>
      </c>
      <c r="H29" s="129">
        <f t="shared" si="3"/>
        <v>5737.2460199999987</v>
      </c>
      <c r="I29" s="129">
        <f>42144.77488 - H58</f>
        <v>42144.774879999997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602.15957</f>
        <v>602.15957000000003</v>
      </c>
      <c r="G30" s="129">
        <f>31684.95936 - F59</f>
        <v>31684.959360000001</v>
      </c>
      <c r="H30" s="129">
        <f t="shared" si="3"/>
        <v>5582.0406399999993</v>
      </c>
      <c r="I30" s="129">
        <f>40588.56435 - H59</f>
        <v>40588.564350000001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434.63921</f>
        <v>434.63920999999999</v>
      </c>
      <c r="G31" s="129">
        <f>21816.79199 - F60</f>
        <v>21816.791990000002</v>
      </c>
      <c r="H31" s="129">
        <f t="shared" si="3"/>
        <v>3590.2080099999985</v>
      </c>
      <c r="I31" s="129">
        <f>30144.49598 - H60</f>
        <v>30144.49598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2.59283</f>
        <v>2.5928300000000002</v>
      </c>
      <c r="G33" s="134">
        <f>11267.81844</f>
        <v>11267.818439999999</v>
      </c>
      <c r="H33" s="134">
        <f t="shared" si="3"/>
        <v>12318.181560000001</v>
      </c>
      <c r="I33" s="134">
        <f>13192.38715</f>
        <v>13192.38715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630.71200999999996</v>
      </c>
      <c r="G34" s="134">
        <f>G35+G36</f>
        <v>18049.781900000002</v>
      </c>
      <c r="H34" s="134">
        <f t="shared" si="3"/>
        <v>3283.2180999999982</v>
      </c>
      <c r="I34" s="134">
        <f>I35+I36</f>
        <v>16204.225569999999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630.71201</f>
        <v>630.71200999999996</v>
      </c>
      <c r="G35" s="134">
        <f>20999.7819 - F61 - F62</f>
        <v>18049.781900000002</v>
      </c>
      <c r="H35" s="129">
        <f t="shared" si="3"/>
        <v>2083.2180999999982</v>
      </c>
      <c r="I35" s="129">
        <f>17306.22557 - H61 - H62</f>
        <v>16204.225569999999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27.585</f>
        <v>27.585000000000001</v>
      </c>
      <c r="G37" s="141">
        <f>115.3482</f>
        <v>115.34820000000001</v>
      </c>
      <c r="H37" s="141">
        <f t="shared" si="3"/>
        <v>2884.6518000000001</v>
      </c>
      <c r="I37" s="141">
        <f>306.31005</f>
        <v>306.31004999999999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4.25334</f>
        <v>4.2533399999999997</v>
      </c>
      <c r="G38" s="100">
        <f>455.53437</f>
        <v>455.53437000000002</v>
      </c>
      <c r="H38" s="100">
        <f t="shared" si="3"/>
        <v>395.46562999999998</v>
      </c>
      <c r="I38" s="100">
        <f>415.73265</f>
        <v>415.73264999999998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238</v>
      </c>
      <c r="G39" s="100">
        <f>F61</f>
        <v>2950</v>
      </c>
      <c r="H39" s="100">
        <f t="shared" si="3"/>
        <v>98</v>
      </c>
      <c r="I39" s="100">
        <f>H61</f>
        <v>1102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10.84078</f>
        <v>10.840780000000001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3999.3911400000006</v>
      </c>
      <c r="G44" s="78">
        <f t="shared" si="4"/>
        <v>201310.50736000005</v>
      </c>
      <c r="H44" s="78">
        <f t="shared" si="4"/>
        <v>97385.492639999982</v>
      </c>
      <c r="I44" s="78">
        <f t="shared" si="4"/>
        <v>239341.95733999996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238</v>
      </c>
      <c r="F61" s="141">
        <v>2950</v>
      </c>
      <c r="G61" s="141">
        <f>D61-F61</f>
        <v>50</v>
      </c>
      <c r="H61" s="141">
        <v>1102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400.48679999999996</v>
      </c>
      <c r="G92" s="11">
        <f t="shared" si="5"/>
        <v>36814.456399999995</v>
      </c>
      <c r="H92" s="11">
        <f t="shared" si="5"/>
        <v>-2015.4563999999973</v>
      </c>
      <c r="I92" s="11">
        <f t="shared" si="5"/>
        <v>33374.896889999996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399.6468</f>
        <v>399.64679999999998</v>
      </c>
      <c r="G93" s="23">
        <f>36331.43386</f>
        <v>36331.433859999997</v>
      </c>
      <c r="H93" s="23">
        <f>E93-G93</f>
        <v>-2344.4338599999974</v>
      </c>
      <c r="I93" s="23">
        <f>32740.20682</f>
        <v>32740.206819999999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0.84</f>
        <v>0.84</v>
      </c>
      <c r="G94" s="52">
        <f>483.02254</f>
        <v>483.02253999999999</v>
      </c>
      <c r="H94" s="52">
        <f>E94-G94</f>
        <v>328.97746000000001</v>
      </c>
      <c r="I94" s="52">
        <f>634.69007</f>
        <v>634.69006999999999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565.33292000000006</v>
      </c>
      <c r="G95" s="11">
        <f t="shared" si="6"/>
        <v>14476.007979999998</v>
      </c>
      <c r="H95" s="11">
        <f t="shared" si="6"/>
        <v>45023.992019999998</v>
      </c>
      <c r="I95" s="11">
        <f t="shared" si="6"/>
        <v>17427.233969999997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479.86097000000001</v>
      </c>
      <c r="G96" s="134">
        <f t="shared" si="7"/>
        <v>9554.8907799999997</v>
      </c>
      <c r="H96" s="134">
        <f t="shared" si="7"/>
        <v>34936.109219999998</v>
      </c>
      <c r="I96" s="134">
        <f t="shared" si="7"/>
        <v>12551.942059999999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43.524</f>
        <v>43.524000000000001</v>
      </c>
      <c r="G97" s="129">
        <f>1944.0752</f>
        <v>1944.0752</v>
      </c>
      <c r="H97" s="129">
        <f t="shared" ref="H97:H104" si="8">E97-G97</f>
        <v>9939.6248000000014</v>
      </c>
      <c r="I97" s="129">
        <f>2061.62761</f>
        <v>2061.62761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93.80423</f>
        <v>93.804230000000004</v>
      </c>
      <c r="G98" s="129">
        <f>2861.00609</f>
        <v>2861.0060899999999</v>
      </c>
      <c r="H98" s="129">
        <f t="shared" si="8"/>
        <v>9804.0939099999996</v>
      </c>
      <c r="I98" s="129">
        <f>4039.01295</f>
        <v>4039.0129499999998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175.23796</f>
        <v>175.23795999999999</v>
      </c>
      <c r="G99" s="129">
        <f>2340.39955</f>
        <v>2340.3995500000001</v>
      </c>
      <c r="H99" s="129">
        <f t="shared" si="8"/>
        <v>9625.2004500000003</v>
      </c>
      <c r="I99" s="129">
        <f>4030.69593</f>
        <v>4030.6959299999999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167.29478</f>
        <v>167.29478</v>
      </c>
      <c r="G100" s="129">
        <f>2409.40994</f>
        <v>2409.40994</v>
      </c>
      <c r="H100" s="129">
        <f t="shared" si="8"/>
        <v>5567.1900600000008</v>
      </c>
      <c r="I100" s="129">
        <f>2420.60557</f>
        <v>2420.6055700000002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68.12046</f>
        <v>68.120459999999994</v>
      </c>
      <c r="G101" s="134">
        <f>3822.69947</f>
        <v>3822.69947</v>
      </c>
      <c r="H101" s="134">
        <f t="shared" si="8"/>
        <v>6568.3005300000004</v>
      </c>
      <c r="I101" s="134">
        <f>4053.97518</f>
        <v>4053.9751799999999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17.35149</f>
        <v>17.351489999999998</v>
      </c>
      <c r="G102" s="77">
        <f>1098.41773</f>
        <v>1098.4177299999999</v>
      </c>
      <c r="H102" s="77">
        <f t="shared" si="8"/>
        <v>3519.5822699999999</v>
      </c>
      <c r="I102" s="77">
        <f>821.31673</f>
        <v>821.31673000000001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0.01961</f>
        <v>1.9609999999999999E-2</v>
      </c>
      <c r="G103" s="100">
        <f>11.16397</f>
        <v>11.163970000000001</v>
      </c>
      <c r="H103" s="100">
        <f t="shared" si="8"/>
        <v>308.83602999999999</v>
      </c>
      <c r="I103" s="100">
        <f>21.8752</f>
        <v>21.8752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0.37714</f>
        <v>0.37713999999999998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966.21646999999996</v>
      </c>
      <c r="G107" s="78">
        <f t="shared" si="9"/>
        <v>51610.396149999979</v>
      </c>
      <c r="H107" s="78">
        <f t="shared" si="9"/>
        <v>43358.603850000014</v>
      </c>
      <c r="I107" s="78">
        <f t="shared" si="9"/>
        <v>51167.740839999991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146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341.07749999999999</v>
      </c>
      <c r="G128" s="11">
        <f t="shared" si="10"/>
        <v>30545.118319999998</v>
      </c>
      <c r="H128" s="11">
        <f t="shared" si="10"/>
        <v>39995.881680000006</v>
      </c>
      <c r="I128" s="11">
        <f t="shared" si="10"/>
        <v>31635.844820000002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123.72615</f>
        <v>123.72615</v>
      </c>
      <c r="G129" s="23">
        <f>26165.38254</f>
        <v>26165.382539999999</v>
      </c>
      <c r="H129" s="23">
        <f>E129-G129</f>
        <v>29926.617460000001</v>
      </c>
      <c r="I129" s="23">
        <f>26108.79546</f>
        <v>26108.795460000001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217.35135</f>
        <v>217.35135</v>
      </c>
      <c r="G130" s="23">
        <f>4379.73578</f>
        <v>4379.73578</v>
      </c>
      <c r="H130" s="23">
        <f>E130-G130</f>
        <v>9569.2642200000009</v>
      </c>
      <c r="I130" s="23">
        <f>5527.04936</f>
        <v>5527.04936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694.8898</f>
        <v>694.88980000000004</v>
      </c>
      <c r="G132" s="97">
        <f>2932.17533+1305.505105</f>
        <v>4237.6804350000002</v>
      </c>
      <c r="H132" s="97">
        <f>E132-G132</f>
        <v>44934.319564999998</v>
      </c>
      <c r="I132" s="97">
        <f>1589.82256</f>
        <v>1589.8225600000001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646.55051999999989</v>
      </c>
      <c r="G133" s="96">
        <f t="shared" ref="G133" si="11">G134+G139+G142</f>
        <v>40917.088024999997</v>
      </c>
      <c r="H133" s="96">
        <f>H134+H139+H142</f>
        <v>40022.911974999995</v>
      </c>
      <c r="I133" s="96">
        <f>I134+I139+I142</f>
        <v>36752.521220000002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505.33719999999994</v>
      </c>
      <c r="G134" s="127">
        <f>G135+G136+G138+G137</f>
        <v>32511.483144999998</v>
      </c>
      <c r="H134" s="127">
        <f>H135+H136+H137+H138</f>
        <v>26992.516854999998</v>
      </c>
      <c r="I134" s="127">
        <f>I135+I136+I137+I138</f>
        <v>29223.960379999997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120.3053</f>
        <v>120.3053</v>
      </c>
      <c r="G135" s="129">
        <v>5250.8594400000002</v>
      </c>
      <c r="H135" s="129">
        <f>E135-G135</f>
        <v>12253.14056</v>
      </c>
      <c r="I135" s="129">
        <f>4067.72229</f>
        <v>4067.7222900000002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73.68305</f>
        <v>73.683049999999994</v>
      </c>
      <c r="G136" s="129">
        <v>9602.6601499999997</v>
      </c>
      <c r="H136" s="129">
        <f>E136-G136</f>
        <v>5481.3398500000003</v>
      </c>
      <c r="I136" s="129">
        <f>7305.01139</f>
        <v>7305.0113899999997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150.69511</f>
        <v>150.69511</v>
      </c>
      <c r="G137" s="129">
        <v>8646.7229400000015</v>
      </c>
      <c r="H137" s="129">
        <f>E137-G137</f>
        <v>6376.2770599999985</v>
      </c>
      <c r="I137" s="129">
        <f>9185.18239</f>
        <v>9185.1823899999999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160.65374</f>
        <v>160.65374</v>
      </c>
      <c r="G138" s="129">
        <v>9011.2406149999988</v>
      </c>
      <c r="H138" s="129">
        <f>E138-G138</f>
        <v>2881.7593850000012</v>
      </c>
      <c r="I138" s="129">
        <f>8666.04431</f>
        <v>8666.0443099999993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14.099399999999999</v>
      </c>
      <c r="G139" s="134">
        <f>SUM(G140:G141)</f>
        <v>5688.2933499999999</v>
      </c>
      <c r="H139" s="134">
        <f>H140+H141</f>
        <v>3743.7066500000001</v>
      </c>
      <c r="I139" s="134">
        <f>SUM(I140:I141)</f>
        <v>5322.0565100000003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13.8204</f>
        <v>13.820399999999999</v>
      </c>
      <c r="G140" s="129">
        <f>5566.86172</f>
        <v>5566.8617199999999</v>
      </c>
      <c r="H140" s="129">
        <f t="shared" ref="H140:H147" si="12">E140-G140</f>
        <v>3365.1382800000001</v>
      </c>
      <c r="I140" s="129">
        <f>5225.5397</f>
        <v>5225.5397000000003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0.279</f>
        <v>0.27900000000000003</v>
      </c>
      <c r="G141" s="129">
        <f>121.43163</f>
        <v>121.43163</v>
      </c>
      <c r="H141" s="129">
        <f t="shared" si="12"/>
        <v>378.56837000000002</v>
      </c>
      <c r="I141" s="129">
        <f>96.51681</f>
        <v>96.516810000000007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127.11392</f>
        <v>127.11391999999999</v>
      </c>
      <c r="G142" s="77">
        <f>2717.31153</f>
        <v>2717.3115299999999</v>
      </c>
      <c r="H142" s="77">
        <f t="shared" si="12"/>
        <v>9286.688470000001</v>
      </c>
      <c r="I142" s="77">
        <f>2206.50433</f>
        <v>2206.5043300000002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0.0037</f>
        <v>3.7000000000000002E-3</v>
      </c>
      <c r="G143" s="141">
        <f>21.30929</f>
        <v>21.309290000000001</v>
      </c>
      <c r="H143" s="141">
        <f t="shared" si="12"/>
        <v>115.69071</v>
      </c>
      <c r="I143" s="141">
        <f>20.96597</f>
        <v>20.965969999999999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99.527</f>
        <v>99.527000000000001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11.6452</f>
        <v>11.645200000000001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1694.1667199999999</v>
      </c>
      <c r="G150" s="78">
        <f>G128+G132+G133+G143+G144+G145+G146+G147+G148</f>
        <v>77721.196070000005</v>
      </c>
      <c r="H150" s="78">
        <f>H128+H132+H133+H143+H144+H145+H146+H147+H148</f>
        <v>125513.80392999999</v>
      </c>
      <c r="I150" s="78">
        <f>I128+I132+I133+I143+I144+I145+I146+I147+I148</f>
        <v>72098.681570000001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3.81171</f>
        <v>3.8117100000000002</v>
      </c>
      <c r="F175" s="274">
        <f>600.90867</f>
        <v>600.90867000000003</v>
      </c>
      <c r="G175" s="45">
        <f>D175-F175-F176</f>
        <v>4082.7405400000002</v>
      </c>
      <c r="H175" s="274">
        <f>469.42653</f>
        <v>469.42653000000001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1.34466</f>
        <v>1.34466</v>
      </c>
      <c r="F176" s="154">
        <f>304.35079</f>
        <v>304.35079000000002</v>
      </c>
      <c r="G176" s="215"/>
      <c r="H176" s="154">
        <f>629.43431</f>
        <v>629.43430999999998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0.05094</f>
        <v>5.0939999999999999E-2</v>
      </c>
      <c r="F177" s="174">
        <f>32.42226</f>
        <v>32.422260000000001</v>
      </c>
      <c r="G177" s="174">
        <f>D177-F177</f>
        <v>167.57774000000001</v>
      </c>
      <c r="H177" s="174">
        <f>46.89926</f>
        <v>46.899259999999998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2.4363600000000001</v>
      </c>
      <c r="F178" s="183">
        <f>F179+F180+F181</f>
        <v>26.604959999999998</v>
      </c>
      <c r="G178" s="183">
        <f>D178-F178</f>
        <v>7454.3950400000003</v>
      </c>
      <c r="H178" s="183">
        <f>H179+H180+H181</f>
        <v>31.39208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0.96728</f>
        <v>0.96728000000000003</v>
      </c>
      <c r="F179" s="129">
        <f>9.01548</f>
        <v>9.0154800000000002</v>
      </c>
      <c r="G179" s="129"/>
      <c r="H179" s="129">
        <f>2.79776</f>
        <v>2.7977599999999998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1.46908</f>
        <v>1.4690799999999999</v>
      </c>
      <c r="F180" s="129">
        <f>16.48536</f>
        <v>16.48536</v>
      </c>
      <c r="G180" s="129"/>
      <c r="H180" s="129">
        <f>23.85339</f>
        <v>23.853390000000001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1.10412</f>
        <v>1.10412</v>
      </c>
      <c r="G181" s="194"/>
      <c r="H181" s="194">
        <f>4.74093</f>
        <v>4.7409299999999996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7.6436700000000002</v>
      </c>
      <c r="F184" s="196">
        <f>F175+F176+F177+F178+F182+F183</f>
        <v>964.28668000000005</v>
      </c>
      <c r="G184" s="196">
        <f>D184-F184</f>
        <v>11770.713320000001</v>
      </c>
      <c r="H184" s="196">
        <f>H175+H176+H177+H178+H182+H183</f>
        <v>1177.15218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49.7619</f>
        <v>49.761899999999997</v>
      </c>
      <c r="F204" s="124">
        <f>8026.65012</f>
        <v>8026.6501200000002</v>
      </c>
      <c r="G204" s="124">
        <f>D204-F204</f>
        <v>35812.349880000002</v>
      </c>
      <c r="H204" s="124">
        <f>4585.8313</f>
        <v>4585.8312999999998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0.19046</f>
        <v>0.19045999999999999</v>
      </c>
      <c r="F205" s="124">
        <f>2.19863</f>
        <v>2.1986300000000001</v>
      </c>
      <c r="G205" s="124">
        <f>D205-F205</f>
        <v>97.801370000000006</v>
      </c>
      <c r="H205" s="124">
        <f>20.01676</f>
        <v>20.016760000000001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49.952359999999999</v>
      </c>
      <c r="F207" s="190">
        <f>SUM(F204:F206)</f>
        <v>8028.8487500000001</v>
      </c>
      <c r="G207" s="190">
        <f>D207-F207</f>
        <v>35952.151250000003</v>
      </c>
      <c r="H207" s="190">
        <f>SUM(H204:H206)</f>
        <v>4605.8480600000003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12.78564</f>
        <v>12.785640000000001</v>
      </c>
      <c r="F258" s="124">
        <f>153.88177</f>
        <v>153.88176999999999</v>
      </c>
      <c r="G258" s="124">
        <f>D258-F258</f>
        <v>646.11823000000004</v>
      </c>
      <c r="H258" s="124">
        <f>92.40676</f>
        <v>92.406760000000006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16.6213</f>
        <v>16.621300000000002</v>
      </c>
      <c r="F259" s="124">
        <f>474.06366</f>
        <v>474.06366000000003</v>
      </c>
      <c r="G259" s="124">
        <f>D259-F259</f>
        <v>2019.93634</v>
      </c>
      <c r="H259" s="124">
        <f>253.69482</f>
        <v>253.69481999999999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0.6352</f>
        <v>0.63519999999999999</v>
      </c>
      <c r="G260" s="124">
        <f>D260-F260</f>
        <v>4.3647999999999998</v>
      </c>
      <c r="H260" s="168">
        <f>0.5865</f>
        <v>0.58650000000000002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0.19282</f>
        <v>0.19281999999999999</v>
      </c>
      <c r="G261" s="124"/>
      <c r="H261" s="168">
        <f>2.76298</f>
        <v>2.7629800000000002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29.406940000000002</v>
      </c>
      <c r="F262" s="190">
        <f>SUM(F258:F261)</f>
        <v>628.77345000000003</v>
      </c>
      <c r="G262" s="190">
        <f>D262-F262</f>
        <v>2670.2265499999999</v>
      </c>
      <c r="H262" s="190">
        <f>H258+H259+H260+H261</f>
        <v>349.45106000000004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279.89519000000001</v>
      </c>
      <c r="G288" s="251">
        <f t="shared" si="14"/>
        <v>3605.4769299999998</v>
      </c>
      <c r="H288" s="251">
        <f>H292+H291+H290+H289</f>
        <v>12496.523069999999</v>
      </c>
      <c r="I288" s="251">
        <f t="shared" si="14"/>
        <v>1690.63519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1619.98708</f>
        <v>1619.9870800000001</v>
      </c>
      <c r="H289" s="255">
        <f t="shared" ref="H289:H293" si="15">E289-G289</f>
        <v>6557.0129200000001</v>
      </c>
      <c r="I289" s="255">
        <f>532.25235</f>
        <v>532.25234999999998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198.6201</f>
        <v>198.62010000000001</v>
      </c>
      <c r="G290" s="255">
        <f>764.7831</f>
        <v>764.78309999999999</v>
      </c>
      <c r="H290" s="255">
        <f t="shared" si="15"/>
        <v>1363.2168999999999</v>
      </c>
      <c r="I290" s="255">
        <f>490.4118</f>
        <v>490.41180000000003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63.71844</f>
        <v>63.718440000000001</v>
      </c>
      <c r="G291" s="255">
        <f>900.96505</f>
        <v>900.96505000000002</v>
      </c>
      <c r="H291" s="255">
        <f t="shared" si="15"/>
        <v>456.03494999999998</v>
      </c>
      <c r="I291" s="255">
        <f>649.53944</f>
        <v>649.53944000000001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17.55665</f>
        <v>17.556650000000001</v>
      </c>
      <c r="G292" s="255">
        <f>319.7417</f>
        <v>319.74169999999998</v>
      </c>
      <c r="H292" s="255">
        <f t="shared" si="15"/>
        <v>4120.2583000000004</v>
      </c>
      <c r="I292" s="255">
        <f>18.4316</f>
        <v>18.4316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843.49336</f>
        <v>843.49336000000005</v>
      </c>
      <c r="G293" s="266">
        <f>2899.51102</f>
        <v>2899.5110199999999</v>
      </c>
      <c r="H293" s="266">
        <f t="shared" si="15"/>
        <v>2600.4889800000001</v>
      </c>
      <c r="I293" s="266">
        <f>2083.93772</f>
        <v>2083.9377199999999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12.95515</v>
      </c>
      <c r="G294" s="267">
        <f>G296+G295</f>
        <v>1628.9643599999999</v>
      </c>
      <c r="H294" s="267">
        <f>E294-G294</f>
        <v>6371.0356400000001</v>
      </c>
      <c r="I294" s="267">
        <f>I296+I295</f>
        <v>1527.4239600000001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746.70325</f>
        <v>746.70325000000003</v>
      </c>
      <c r="H295" s="255"/>
      <c r="I295" s="255">
        <f>891.39776</f>
        <v>891.39775999999995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12.95515</f>
        <v>12.95515</v>
      </c>
      <c r="G296" s="276">
        <f>882.26111</f>
        <v>882.26111000000003</v>
      </c>
      <c r="H296" s="276"/>
      <c r="I296" s="276">
        <f>636.0262</f>
        <v>636.02620000000002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0.0651</f>
        <v>6.5100000000000005E-2</v>
      </c>
      <c r="H297" s="266">
        <f>E297-G297</f>
        <v>9.9349000000000007</v>
      </c>
      <c r="I297" s="266">
        <f>0.1458</f>
        <v>0.14580000000000001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0.14244</f>
        <v>0.14244000000000001</v>
      </c>
      <c r="G298" s="266">
        <f>23.11744</f>
        <v>23.117439999999998</v>
      </c>
      <c r="H298" s="266">
        <f>E298-G298</f>
        <v>-23.117439999999998</v>
      </c>
      <c r="I298" s="266">
        <f>13.42583</f>
        <v>13.425829999999999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1136.4861400000002</v>
      </c>
      <c r="G299" s="285">
        <f t="shared" si="16"/>
        <v>8157.1348499999995</v>
      </c>
      <c r="H299" s="285">
        <f>H288+H293+H294+H297+H298</f>
        <v>21454.865149999998</v>
      </c>
      <c r="I299" s="285">
        <f t="shared" si="16"/>
        <v>5315.5685000000003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0</v>
      </c>
      <c r="F321" s="26">
        <f>F323+F322</f>
        <v>2184.5746300000001</v>
      </c>
      <c r="G321" s="87">
        <f>D321-F321</f>
        <v>56.42536999999993</v>
      </c>
      <c r="H321" s="26">
        <f>SUM(H322:H323)</f>
        <v>1387.2783300000001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0</f>
        <v>0</v>
      </c>
      <c r="F322" s="207">
        <f>1702.38413</f>
        <v>1702.3841299999999</v>
      </c>
      <c r="G322" s="208"/>
      <c r="H322" s="207">
        <f>1081.99515</f>
        <v>1081.99515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0</f>
        <v>0</v>
      </c>
      <c r="F323" s="210">
        <f>482.1905</f>
        <v>482.19049999999999</v>
      </c>
      <c r="G323" s="211"/>
      <c r="H323" s="210">
        <f>305.28318</f>
        <v>305.28318000000002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75.915499999999994</v>
      </c>
      <c r="F324" s="26">
        <f>SUM(F325:F326)</f>
        <v>75.915499999999994</v>
      </c>
      <c r="G324" s="87">
        <f>D324-F324</f>
        <v>1044.0844999999999</v>
      </c>
      <c r="H324" s="26">
        <f>SUM(H325:H326)</f>
        <v>98.346399999999988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54.842</f>
        <v>54.841999999999999</v>
      </c>
      <c r="F325" s="30">
        <f>54.842</f>
        <v>54.841999999999999</v>
      </c>
      <c r="G325" s="99"/>
      <c r="H325" s="30">
        <f>75.0615</f>
        <v>75.061499999999995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21.0735</f>
        <v>21.073499999999999</v>
      </c>
      <c r="F326" s="30">
        <f>21.0735</f>
        <v>21.073499999999999</v>
      </c>
      <c r="G326" s="110"/>
      <c r="H326" s="30">
        <f>23.2849</f>
        <v>23.2849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75.915499999999994</v>
      </c>
      <c r="F331" s="42">
        <f>F321+F324+F327+F330</f>
        <v>2260.4901300000001</v>
      </c>
      <c r="G331" s="43">
        <f>SUM(G321:G330)</f>
        <v>1100.5098699999999</v>
      </c>
      <c r="H331" s="42">
        <f>H321+H324+H327+H330</f>
        <v>1485.62473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18&amp;R08.05.2023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2023-05-08T08:58:47Z</dcterms:modified>
</cp:coreProperties>
</file>