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192400B8-31CF-4BDC-822E-4F5F55A79A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G119" i="1"/>
  <c r="H345" i="1"/>
  <c r="G345" i="1"/>
  <c r="F345" i="1"/>
  <c r="E345" i="1"/>
  <c r="D345" i="1"/>
  <c r="G344" i="1"/>
  <c r="G343" i="1"/>
  <c r="E336" i="1"/>
  <c r="D324" i="1"/>
  <c r="H323" i="1"/>
  <c r="G323" i="1"/>
  <c r="G324" i="1" s="1"/>
  <c r="F323" i="1"/>
  <c r="E323" i="1"/>
  <c r="E324" i="1" s="1"/>
  <c r="H322" i="1"/>
  <c r="H324" i="1" s="1"/>
  <c r="G322" i="1"/>
  <c r="F322" i="1"/>
  <c r="F324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E300" i="1" s="1"/>
  <c r="F300" i="1"/>
  <c r="G300" i="1" s="1"/>
  <c r="H299" i="1"/>
  <c r="F299" i="1"/>
  <c r="E299" i="1"/>
  <c r="H298" i="1"/>
  <c r="F298" i="1"/>
  <c r="E298" i="1"/>
  <c r="E297" i="1" s="1"/>
  <c r="H297" i="1"/>
  <c r="F297" i="1"/>
  <c r="G297" i="1" s="1"/>
  <c r="H296" i="1"/>
  <c r="F296" i="1"/>
  <c r="E296" i="1"/>
  <c r="H295" i="1"/>
  <c r="F295" i="1"/>
  <c r="F294" i="1" s="1"/>
  <c r="E295" i="1"/>
  <c r="H294" i="1"/>
  <c r="H304" i="1" s="1"/>
  <c r="E294" i="1"/>
  <c r="E304" i="1" s="1"/>
  <c r="E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G267" i="1"/>
  <c r="H267" i="1" s="1"/>
  <c r="F267" i="1"/>
  <c r="I266" i="1"/>
  <c r="G266" i="1"/>
  <c r="H266" i="1" s="1"/>
  <c r="F266" i="1"/>
  <c r="I265" i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I262" i="1"/>
  <c r="I273" i="1" s="1"/>
  <c r="F262" i="1"/>
  <c r="F273" i="1" s="1"/>
  <c r="E262" i="1"/>
  <c r="D262" i="1"/>
  <c r="D273" i="1" s="1"/>
  <c r="H254" i="1"/>
  <c r="F254" i="1"/>
  <c r="H241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E241" i="1" s="1"/>
  <c r="H237" i="1"/>
  <c r="F237" i="1"/>
  <c r="F241" i="1" s="1"/>
  <c r="G241" i="1" s="1"/>
  <c r="E237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E216" i="1"/>
  <c r="E215" i="1" s="1"/>
  <c r="E219" i="1" s="1"/>
  <c r="F215" i="1"/>
  <c r="F219" i="1" s="1"/>
  <c r="G219" i="1" s="1"/>
  <c r="H206" i="1"/>
  <c r="D206" i="1"/>
  <c r="H205" i="1"/>
  <c r="G205" i="1"/>
  <c r="F205" i="1"/>
  <c r="E205" i="1"/>
  <c r="H204" i="1"/>
  <c r="F204" i="1"/>
  <c r="E204" i="1"/>
  <c r="H203" i="1"/>
  <c r="F203" i="1"/>
  <c r="F202" i="1" s="1"/>
  <c r="E203" i="1"/>
  <c r="E202" i="1" s="1"/>
  <c r="E206" i="1" s="1"/>
  <c r="H202" i="1"/>
  <c r="I192" i="1"/>
  <c r="E192" i="1"/>
  <c r="D192" i="1"/>
  <c r="I191" i="1"/>
  <c r="G191" i="1"/>
  <c r="H191" i="1" s="1"/>
  <c r="F191" i="1"/>
  <c r="I190" i="1"/>
  <c r="H190" i="1"/>
  <c r="G190" i="1"/>
  <c r="F190" i="1"/>
  <c r="F192" i="1" s="1"/>
  <c r="I189" i="1"/>
  <c r="G189" i="1"/>
  <c r="H189" i="1" s="1"/>
  <c r="F189" i="1"/>
  <c r="E16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F163" i="1" s="1"/>
  <c r="G163" i="1" s="1"/>
  <c r="E165" i="1"/>
  <c r="H164" i="1"/>
  <c r="H163" i="1" s="1"/>
  <c r="F164" i="1"/>
  <c r="E164" i="1"/>
  <c r="E163" i="1"/>
  <c r="H162" i="1"/>
  <c r="G162" i="1"/>
  <c r="F162" i="1"/>
  <c r="E162" i="1"/>
  <c r="H161" i="1"/>
  <c r="F161" i="1"/>
  <c r="E161" i="1"/>
  <c r="H160" i="1"/>
  <c r="H169" i="1" s="1"/>
  <c r="F160" i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I126" i="1" s="1"/>
  <c r="H127" i="1"/>
  <c r="H126" i="1" s="1"/>
  <c r="G127" i="1"/>
  <c r="F127" i="1"/>
  <c r="F126" i="1" s="1"/>
  <c r="G126" i="1"/>
  <c r="E126" i="1"/>
  <c r="D126" i="1"/>
  <c r="D120" i="1" s="1"/>
  <c r="I125" i="1"/>
  <c r="H125" i="1"/>
  <c r="F125" i="1"/>
  <c r="I124" i="1"/>
  <c r="G124" i="1"/>
  <c r="H124" i="1" s="1"/>
  <c r="F124" i="1"/>
  <c r="I123" i="1"/>
  <c r="H123" i="1"/>
  <c r="G123" i="1"/>
  <c r="F123" i="1"/>
  <c r="I122" i="1"/>
  <c r="I121" i="1" s="1"/>
  <c r="G122" i="1"/>
  <c r="G121" i="1" s="1"/>
  <c r="G120" i="1" s="1"/>
  <c r="F122" i="1"/>
  <c r="F121" i="1" s="1"/>
  <c r="F120" i="1" s="1"/>
  <c r="E121" i="1"/>
  <c r="E120" i="1" s="1"/>
  <c r="E137" i="1" s="1"/>
  <c r="D121" i="1"/>
  <c r="I119" i="1"/>
  <c r="H119" i="1"/>
  <c r="F119" i="1"/>
  <c r="I118" i="1"/>
  <c r="H118" i="1"/>
  <c r="G118" i="1"/>
  <c r="F118" i="1"/>
  <c r="I117" i="1"/>
  <c r="G117" i="1"/>
  <c r="H117" i="1" s="1"/>
  <c r="F117" i="1"/>
  <c r="I116" i="1"/>
  <c r="H116" i="1"/>
  <c r="G116" i="1"/>
  <c r="F116" i="1"/>
  <c r="I115" i="1"/>
  <c r="G115" i="1"/>
  <c r="F115" i="1"/>
  <c r="F137" i="1" s="1"/>
  <c r="E115" i="1"/>
  <c r="D115" i="1"/>
  <c r="D137" i="1" s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I83" i="1" s="1"/>
  <c r="I82" i="1" s="1"/>
  <c r="G85" i="1"/>
  <c r="H85" i="1" s="1"/>
  <c r="F85" i="1"/>
  <c r="I84" i="1"/>
  <c r="G84" i="1"/>
  <c r="G83" i="1" s="1"/>
  <c r="G82" i="1" s="1"/>
  <c r="F84" i="1"/>
  <c r="F83" i="1"/>
  <c r="F82" i="1" s="1"/>
  <c r="E83" i="1"/>
  <c r="D83" i="1"/>
  <c r="E82" i="1"/>
  <c r="D82" i="1"/>
  <c r="D94" i="1" s="1"/>
  <c r="I81" i="1"/>
  <c r="G81" i="1"/>
  <c r="H81" i="1" s="1"/>
  <c r="H79" i="1" s="1"/>
  <c r="F81" i="1"/>
  <c r="I80" i="1"/>
  <c r="I79" i="1" s="1"/>
  <c r="I94" i="1" s="1"/>
  <c r="G80" i="1"/>
  <c r="H80" i="1" s="1"/>
  <c r="F80" i="1"/>
  <c r="F79" i="1" s="1"/>
  <c r="G79" i="1"/>
  <c r="E79" i="1"/>
  <c r="E94" i="1" s="1"/>
  <c r="D79" i="1"/>
  <c r="C76" i="1"/>
  <c r="H72" i="1"/>
  <c r="F72" i="1"/>
  <c r="D72" i="1"/>
  <c r="H58" i="1"/>
  <c r="H57" i="1"/>
  <c r="I52" i="1"/>
  <c r="G52" i="1"/>
  <c r="H52" i="1" s="1"/>
  <c r="F52" i="1"/>
  <c r="F31" i="1" s="1"/>
  <c r="F26" i="1" s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I25" i="1" s="1"/>
  <c r="G34" i="1"/>
  <c r="H34" i="1" s="1"/>
  <c r="F34" i="1"/>
  <c r="F33" i="1" s="1"/>
  <c r="G33" i="1"/>
  <c r="G25" i="1" s="1"/>
  <c r="E33" i="1"/>
  <c r="D33" i="1"/>
  <c r="I32" i="1"/>
  <c r="G32" i="1"/>
  <c r="H32" i="1" s="1"/>
  <c r="F32" i="1"/>
  <c r="I31" i="1"/>
  <c r="G31" i="1"/>
  <c r="H31" i="1" s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I26" i="1" s="1"/>
  <c r="G27" i="1"/>
  <c r="G26" i="1" s="1"/>
  <c r="F27" i="1"/>
  <c r="E26" i="1"/>
  <c r="E25" i="1" s="1"/>
  <c r="D26" i="1"/>
  <c r="D25" i="1"/>
  <c r="I24" i="1"/>
  <c r="G24" i="1"/>
  <c r="H24" i="1" s="1"/>
  <c r="H22" i="1" s="1"/>
  <c r="F24" i="1"/>
  <c r="I23" i="1"/>
  <c r="G23" i="1"/>
  <c r="H23" i="1" s="1"/>
  <c r="F23" i="1"/>
  <c r="F22" i="1" s="1"/>
  <c r="I22" i="1"/>
  <c r="G22" i="1"/>
  <c r="E22" i="1"/>
  <c r="E42" i="1" s="1"/>
  <c r="D22" i="1"/>
  <c r="D42" i="1" s="1"/>
  <c r="H16" i="1"/>
  <c r="F16" i="1"/>
  <c r="D16" i="1"/>
  <c r="G137" i="1" l="1"/>
  <c r="I42" i="1"/>
  <c r="F25" i="1"/>
  <c r="F42" i="1" s="1"/>
  <c r="F169" i="1"/>
  <c r="G169" i="1" s="1"/>
  <c r="G42" i="1"/>
  <c r="I137" i="1"/>
  <c r="G304" i="1"/>
  <c r="H192" i="1"/>
  <c r="F304" i="1"/>
  <c r="G294" i="1"/>
  <c r="G94" i="1"/>
  <c r="F94" i="1"/>
  <c r="G202" i="1"/>
  <c r="F206" i="1"/>
  <c r="G206" i="1" s="1"/>
  <c r="H115" i="1"/>
  <c r="I120" i="1"/>
  <c r="H27" i="1"/>
  <c r="H26" i="1" s="1"/>
  <c r="H84" i="1"/>
  <c r="H83" i="1" s="1"/>
  <c r="H82" i="1" s="1"/>
  <c r="H94" i="1" s="1"/>
  <c r="G192" i="1"/>
  <c r="G215" i="1"/>
  <c r="H265" i="1"/>
  <c r="H262" i="1" s="1"/>
  <c r="H273" i="1" s="1"/>
  <c r="H122" i="1"/>
  <c r="H121" i="1" s="1"/>
  <c r="H120" i="1" s="1"/>
  <c r="H33" i="1"/>
  <c r="G237" i="1"/>
  <c r="G160" i="1"/>
  <c r="H25" i="1" l="1"/>
  <c r="H42" i="1" s="1"/>
  <c r="H137" i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<sst xmlns="http://schemas.openxmlformats.org/spreadsheetml/2006/main" count="392" uniqueCount="166">
  <si>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</si>
  <si>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</si>
  <si>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</si>
  <si>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</si>
  <si>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</si>
  <si>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</si>
  <si>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</si>
  <si>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</si>
  <si>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</si>
  <si>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</si>
  <si>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</si>
  <si>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</si>
  <si>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</si>
  <si>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</si>
  <si>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</si>
  <si>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</si>
  <si>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</si>
  <si>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</si>
  <si>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</si>
  <si>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</si>
  <si>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</si>
  <si>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</si>
  <si>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</si>
  <si>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</si>
  <si>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</si>
  <si>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</si>
  <si>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</si>
  <si>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</si>
  <si>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</si>
  <si>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</si>
  <si>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</si>
  <si>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</si>
  <si>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</si>
  <si>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</si>
  <si>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</si>
  <si>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</si>
  <si>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</si>
  <si>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</si>
  <si>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</si>
  <si>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</si>
  <si>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</si>
  <si>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</si>
  <si>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</si>
  <si>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</si>
  <si>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</si>
  <si>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</si>
  <si>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</si>
  <si>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</si>
  <si>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</si>
  <si>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</si>
  <si>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</si>
  <si>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</si>
  <si>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</si>
  <si>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</si>
  <si>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</si>
  <si>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</si>
  <si>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</si>
  <si>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</si>
  <si>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</si>
  <si>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</si>
  <si>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</si>
  <si>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</si>
  <si>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</si>
  <si>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</si>
  <si>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</si>
  <si>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</si>
  <si>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</si>
  <si>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</si>
  <si>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</si>
  <si>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</si>
  <si>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</si>
  <si>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</si>
  <si>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</si>
  <si>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</si>
  <si>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</si>
  <si>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</si>
  <si>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</si>
  <si>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</si>
  <si>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</si>
  <si>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</si>
  <si>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</si>
  <si>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</si>
  <si>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</si>
  <si>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</si>
  <si>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</si>
  <si>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</si>
  <si>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</si>
  <si>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</si>
  <si>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</si>
  <si>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</si>
  <si>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</si>
  <si>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</si>
  <si>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</si>
  <si>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</si>
  <si>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</si>
  <si>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</si>
  <si>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</si>
  <si>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</si>
  <si>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</si>
  <si>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</si>
  <si>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</si>
  <si>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</si>
  <si>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</si>
  <si>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</si>
  <si>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</si>
  <si>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</si>
  <si>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</si>
  <si>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</si>
  <si>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</si>
  <si>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</si>
  <si>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</si>
  <si>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</si>
  <si>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</si>
  <si>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</si>
  <si>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</si>
  <si>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</si>
  <si>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</si>
  <si>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</si>
  <si>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</si>
  <si>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</si>
  <si>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</si>
  <si>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</si>
  <si>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</si>
  <si>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</si>
  <si>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</si>
  <si>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</si>
  <si>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</si>
  <si>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</si>
  <si>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</si>
  <si>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</si>
  <si>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</si>
  <si>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</si>
  <si>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</si>
  <si>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</si>
  <si>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</si>
  <si>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</si>
  <si>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</si>
  <si>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</si>
  <si>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</si>
  <si>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</si>
  <si>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</si>
  <si>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</si>
  <si>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</si>
  <si>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</si>
  <si>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</si>
  <si>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</si>
  <si>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</si>
  <si>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</si>
  <si>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</si>
  <si>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</si>
  <si>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</si>
  <si>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</si>
  <si>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</si>
  <si>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</si>
  <si>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</si>
  <si>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</si>
  <si>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</si>
  <si>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</si>
  <si>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37 tonn, men det legges til grunn at hele avsetningen tas</t>
  </si>
  <si>
    <t>4 Registrert rekreasjonsfiske utgjør 221 tonn, men det legges til grunn at hele avsetningen tas</t>
  </si>
  <si>
    <t>3 Registrert rekreasjonsfiske utgjør 659 tonn, men det legges til grunn at hele avsetningen tas</t>
  </si>
  <si>
    <t>FANGST UKE 25</t>
  </si>
  <si>
    <t>FANGST T.O.M UKE 25</t>
  </si>
  <si>
    <t>RESTKVOTER UKE 25</t>
  </si>
  <si>
    <t>FANGST T.O.M UKE 25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</si>
  <si>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700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</si>
</sst>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B133" zoomScale="115" zoomScaleNormal="115" zoomScaleSheetLayoutView="100" zoomScalePageLayoutView="85" workbookViewId="0">
      <selection activeCell="E143" sqref="E143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93.671999999999997</v>
      </c>
      <c r="G22" s="27">
        <f t="shared" si="0"/>
        <v>15221.68561</v>
      </c>
      <c r="H22" s="10">
        <f>H24+H23</f>
        <v>18210.31439</v>
      </c>
      <c r="I22" s="10">
        <f t="shared" si="0"/>
        <v>19843.56897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93.672</f>
        <v>93.671999999999997</v>
      </c>
      <c r="G23" s="22">
        <f>14824.02061</f>
        <v>14824.02061</v>
      </c>
      <c r="H23" s="22">
        <f>E23-G23</f>
        <v>17864.97939</v>
      </c>
      <c r="I23" s="22">
        <f>19532.83332</f>
        <v>19532.833320000002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397.665</f>
        <v>397.66500000000002</v>
      </c>
      <c r="H24" s="22">
        <f>E24-G24</f>
        <v>345.33499999999998</v>
      </c>
      <c r="I24" s="22">
        <f>310.73565</f>
        <v>310.73565000000002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434.84261999999995</v>
      </c>
      <c r="G25" s="10">
        <f t="shared" si="1"/>
        <v>80265.408359999899</v>
      </c>
      <c r="H25" s="10">
        <f>H33+H32+H26</f>
        <v>17776.591640000101</v>
      </c>
      <c r="I25" s="10">
        <f t="shared" si="1"/>
        <v>97645.293870000009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329.49023999999997</v>
      </c>
      <c r="G26" s="129">
        <f>G27+G28+G29+G30+G31</f>
        <v>65414.670100000003</v>
      </c>
      <c r="H26" s="129">
        <f>H27+H28+H29+H30+H31</f>
        <v>12443.329900000001</v>
      </c>
      <c r="I26" s="129">
        <f t="shared" ref="I26" si="2">I27+I28+I29+I30+I31</f>
        <v>78292.135120000006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39.17578 - F53</f>
        <v>39.175780000000003</v>
      </c>
      <c r="G27" s="123">
        <f>19177.31839 - G53</f>
        <v>19177.31839</v>
      </c>
      <c r="H27" s="123">
        <f t="shared" ref="H27:H41" si="3">E27-G27</f>
        <v>1690.6816099999996</v>
      </c>
      <c r="I27" s="123">
        <f>22329.23157 - I53</f>
        <v>22329.23157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42.64182 - F54</f>
        <v>42.641820000000003</v>
      </c>
      <c r="G28" s="123">
        <f>18491.6116 - G54</f>
        <v>18491.6116</v>
      </c>
      <c r="H28" s="123">
        <f t="shared" si="3"/>
        <v>1228.3883999999998</v>
      </c>
      <c r="I28" s="123">
        <f>21715.22235 - I54</f>
        <v>21715.22235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198.84588 - F55</f>
        <v>198.84587999999999</v>
      </c>
      <c r="G29" s="123">
        <f>15669.61783 - G55</f>
        <v>15669.617829999999</v>
      </c>
      <c r="H29" s="123">
        <f t="shared" si="3"/>
        <v>1955.3821700000008</v>
      </c>
      <c r="I29" s="123">
        <f>20415.26527 - I55</f>
        <v>20415.26527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48.82676 - F56</f>
        <v>48.82676</v>
      </c>
      <c r="G30" s="123">
        <f>12076.12228 - G56</f>
        <v>12076.12228</v>
      </c>
      <c r="H30" s="123">
        <f t="shared" si="3"/>
        <v>877.87772000000041</v>
      </c>
      <c r="I30" s="123">
        <f>13832.41593 - I56</f>
        <v>13832.415929999999</v>
      </c>
      <c r="J30" s="63"/>
    </row>
    <row r="31" spans="1:10" ht="14.15" customHeight="1" x14ac:dyDescent="0.3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85.31145</f>
        <v>85.311449999999994</v>
      </c>
      <c r="G32" s="129">
        <f>5334.25234</f>
        <v>5334.25234</v>
      </c>
      <c r="H32" s="129">
        <f t="shared" si="3"/>
        <v>5572.74766</v>
      </c>
      <c r="I32" s="129">
        <f>8595.64168</f>
        <v>8595.6416800000006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20.040930000000003</v>
      </c>
      <c r="G33" s="129">
        <f>G34+G35</f>
        <v>9516.4859199998991</v>
      </c>
      <c r="H33" s="129">
        <f t="shared" si="3"/>
        <v>-239.48591999989912</v>
      </c>
      <c r="I33" s="129">
        <f>I34+I35</f>
        <v>10757.51707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37.04093 - F57 - F58</f>
        <v>20.040930000000003</v>
      </c>
      <c r="G34" s="129">
        <f>12058.4859199999 - G57 - G58</f>
        <v>9516.4859199998991</v>
      </c>
      <c r="H34" s="123">
        <f t="shared" si="3"/>
        <v>-1104.4859199998991</v>
      </c>
      <c r="I34" s="123">
        <f>12593.51707 - I57 - I58</f>
        <v>10757.51707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478.1416</f>
        <v>478.14159999999998</v>
      </c>
      <c r="H36" s="136">
        <f t="shared" si="3"/>
        <v>21.858400000000017</v>
      </c>
      <c r="I36" s="136">
        <f>275.6768</f>
        <v>275.67680000000001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1.165</f>
        <v>1.165</v>
      </c>
      <c r="G37" s="95">
        <f>543.9401</f>
        <v>543.94010000000003</v>
      </c>
      <c r="H37" s="95">
        <f t="shared" si="3"/>
        <v>336.05989999999997</v>
      </c>
      <c r="I37" s="95">
        <f>563.21211</f>
        <v>563.21211000000005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17</v>
      </c>
      <c r="G38" s="95">
        <f>G58</f>
        <v>2542</v>
      </c>
      <c r="H38" s="95">
        <f t="shared" si="3"/>
        <v>458</v>
      </c>
      <c r="I38" s="95">
        <f>I58</f>
        <v>1836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13.67291</f>
        <v>13.67291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0.908</f>
        <v>0.90800000000000003</v>
      </c>
      <c r="G40" s="95">
        <f>393.58049</f>
        <v>393.58049</v>
      </c>
      <c r="H40" s="95">
        <f t="shared" si="3"/>
        <v>56.419510000000002</v>
      </c>
      <c r="I40" s="95">
        <f>364.47147</f>
        <v>364.47147000000001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51.26398</f>
        <v>51.263979999999997</v>
      </c>
      <c r="H41" s="136">
        <f t="shared" si="3"/>
        <v>-51.263979999999997</v>
      </c>
      <c r="I41" s="136">
        <f>66.51518</f>
        <v>66.515180000000001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561.2605299999999</v>
      </c>
      <c r="G42" s="73">
        <f t="shared" si="4"/>
        <v>106496.02013999991</v>
      </c>
      <c r="H42" s="73">
        <f>H22+H25+H36+H37+H38+H39+H40+H41</f>
        <v>36807.979860000094</v>
      </c>
      <c r="I42" s="73">
        <f t="shared" si="4"/>
        <v>127594.73840000002</v>
      </c>
      <c r="J42" s="271"/>
    </row>
    <row r="43" spans="1:10" ht="14.15" customHeight="1" x14ac:dyDescent="0.3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17</v>
      </c>
      <c r="G58" s="136">
        <v>2542</v>
      </c>
      <c r="H58" s="136">
        <f>E58-G58</f>
        <v>458</v>
      </c>
      <c r="I58" s="136">
        <v>1836</v>
      </c>
      <c r="J58" s="117"/>
    </row>
    <row r="59" spans="1:10" ht="14.15" customHeight="1" x14ac:dyDescent="0.3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31.883600000000001</v>
      </c>
      <c r="G79" s="10">
        <f t="shared" si="5"/>
        <v>22253.776409999999</v>
      </c>
      <c r="H79" s="10">
        <f>H81+H80</f>
        <v>7645.2235900000014</v>
      </c>
      <c r="I79" s="10">
        <f t="shared" si="5"/>
        <v>19405.37918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29143</v>
      </c>
      <c r="F80" s="22">
        <f>31.8836</f>
        <v>31.883600000000001</v>
      </c>
      <c r="G80" s="22">
        <f>21716.82608</f>
        <v>21716.826079999999</v>
      </c>
      <c r="H80" s="22">
        <f>E80-G80</f>
        <v>7426.1739200000011</v>
      </c>
      <c r="I80" s="22">
        <f>18988.59596</f>
        <v>18988.595959999999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536.95033</f>
        <v>536.95033000000001</v>
      </c>
      <c r="H81" s="48">
        <f>E81-G81</f>
        <v>219.04966999999999</v>
      </c>
      <c r="I81" s="48">
        <f>416.78322</f>
        <v>416.78321999999997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690.12394000000006</v>
      </c>
      <c r="G82" s="10">
        <f t="shared" si="6"/>
        <v>22624.599359999953</v>
      </c>
      <c r="H82" s="10">
        <f>H83+H88+H89</f>
        <v>29047.400640000043</v>
      </c>
      <c r="I82" s="10">
        <f t="shared" si="6"/>
        <v>24428.527859999969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579.96266000000003</v>
      </c>
      <c r="G83" s="129">
        <f t="shared" si="7"/>
        <v>17142.84128999996</v>
      </c>
      <c r="H83" s="129">
        <f>H84+H85+H86+H87</f>
        <v>20873.158710000036</v>
      </c>
      <c r="I83" s="129">
        <f t="shared" si="7"/>
        <v>18880.845269999951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10530</v>
      </c>
      <c r="F84" s="123">
        <f>31.76329</f>
        <v>31.763290000000001</v>
      </c>
      <c r="G84" s="123">
        <f>2728.13225999998</f>
        <v>2728.1322599999799</v>
      </c>
      <c r="H84" s="123">
        <f t="shared" ref="H84:H93" si="8">E84-G84</f>
        <v>7801.8677400000197</v>
      </c>
      <c r="I84" s="123">
        <f>2863.99596999997</f>
        <v>2863.9959699999699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10962</v>
      </c>
      <c r="F85" s="123">
        <f>87.90456</f>
        <v>87.904560000000004</v>
      </c>
      <c r="G85" s="123">
        <f>6159.16696999999</f>
        <v>6159.1669699999902</v>
      </c>
      <c r="H85" s="123">
        <f t="shared" si="8"/>
        <v>4802.8330300000098</v>
      </c>
      <c r="I85" s="123">
        <f>5225.05664999998</f>
        <v>5225.0566499999804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9908</v>
      </c>
      <c r="F86" s="123">
        <f>409.41917</f>
        <v>409.41917000000001</v>
      </c>
      <c r="G86" s="123">
        <f>4843.30694999999</f>
        <v>4843.3069499999901</v>
      </c>
      <c r="H86" s="123">
        <f t="shared" si="8"/>
        <v>5064.6930500000099</v>
      </c>
      <c r="I86" s="123">
        <f>6306.18149</f>
        <v>6306.1814899999999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6616</v>
      </c>
      <c r="F87" s="123">
        <f>50.87564</f>
        <v>50.875639999999997</v>
      </c>
      <c r="G87" s="123">
        <f>3412.23511</f>
        <v>3412.2351100000001</v>
      </c>
      <c r="H87" s="123">
        <f t="shared" si="8"/>
        <v>3203.7648899999999</v>
      </c>
      <c r="I87" s="123">
        <f>4485.61116</f>
        <v>4485.6111600000004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9513</v>
      </c>
      <c r="F88" s="129">
        <f>98.71131</f>
        <v>98.711309999999997</v>
      </c>
      <c r="G88" s="129">
        <f>4153.47259</f>
        <v>4153.4725900000003</v>
      </c>
      <c r="H88" s="129">
        <f t="shared" si="8"/>
        <v>5359.5274099999997</v>
      </c>
      <c r="I88" s="129">
        <f>4399.33382</f>
        <v>4399.3338199999998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4143</v>
      </c>
      <c r="F89" s="72">
        <f>11.44997</f>
        <v>11.44997</v>
      </c>
      <c r="G89" s="72">
        <f>1328.28547999999</f>
        <v>1328.28547999999</v>
      </c>
      <c r="H89" s="72">
        <f t="shared" si="8"/>
        <v>2814.71452000001</v>
      </c>
      <c r="I89" s="72">
        <f>1148.34877000002</f>
        <v>1148.3487700000201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29.07267</f>
        <v>29.072669999999999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1.42121</f>
        <v>1.4212100000000001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0.06954</f>
        <v>6.9540000000000005E-2</v>
      </c>
      <c r="G92" s="95">
        <f>4.2469</f>
        <v>4.2469000000000001</v>
      </c>
      <c r="H92" s="136">
        <f t="shared" si="8"/>
        <v>45.753100000000003</v>
      </c>
      <c r="I92" s="95">
        <f>11.99994</f>
        <v>11.99994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0.239</f>
        <v>0.23899999999999999</v>
      </c>
      <c r="G93" s="136">
        <f>9.55662</f>
        <v>9.5566200000000006</v>
      </c>
      <c r="H93" s="136">
        <f t="shared" si="8"/>
        <v>-9.5566200000000006</v>
      </c>
      <c r="I93" s="136">
        <f>11.8549</f>
        <v>11.854900000000001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723.73729000000003</v>
      </c>
      <c r="G94" s="73">
        <f t="shared" si="10"/>
        <v>45203.799159999959</v>
      </c>
      <c r="H94" s="73">
        <f>H79+H82+H90+H91+H92+H93</f>
        <v>37036.200840000041</v>
      </c>
      <c r="I94" s="73">
        <f t="shared" si="10"/>
        <v>44186.83454999997</v>
      </c>
      <c r="J94" s="271"/>
    </row>
    <row r="95" spans="1:10" ht="13.5" customHeight="1" x14ac:dyDescent="0.3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23.045860000000001</v>
      </c>
      <c r="G115" s="10">
        <f t="shared" si="11"/>
        <v>19151.103179999998</v>
      </c>
      <c r="H115" s="10">
        <f t="shared" si="11"/>
        <v>35094.896820000002</v>
      </c>
      <c r="I115" s="10">
        <f t="shared" si="11"/>
        <v>31198.257709999998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23.04586</f>
        <v>23.045860000000001</v>
      </c>
      <c r="G116" s="22">
        <f>16672.97298</f>
        <v>16672.972979999999</v>
      </c>
      <c r="H116" s="22">
        <f>E116-G116</f>
        <v>26724.027020000001</v>
      </c>
      <c r="I116" s="22">
        <f>27750.60187</f>
        <v>27750.601869999999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2405.1897</f>
        <v>2405.1896999999999</v>
      </c>
      <c r="H117" s="22">
        <f>E117-G117</f>
        <v>7943.8103000000001</v>
      </c>
      <c r="I117" s="22">
        <f>3382.29824</f>
        <v>3382.2982400000001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1975.521</f>
        <v>1975.521</v>
      </c>
      <c r="G119" s="92">
        <f>12935.45305+699.5772</f>
        <v>13635.03025</v>
      </c>
      <c r="H119" s="92">
        <f>E119-G119</f>
        <v>23017.96975</v>
      </c>
      <c r="I119" s="92">
        <f>16682.289</f>
        <v>16682.289000000001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391.59502999999995</v>
      </c>
      <c r="G120" s="91">
        <f t="shared" ref="G120" si="12">G121+G126+G129</f>
        <v>22090.446110000019</v>
      </c>
      <c r="H120" s="91">
        <f>H121+H126+H129</f>
        <v>35019.553889999981</v>
      </c>
      <c r="I120" s="91">
        <f>I121+I126+I129</f>
        <v>36169.540949999988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276.91433999999998</v>
      </c>
      <c r="G121" s="121">
        <f>G122+G123+G125+G124</f>
        <v>16699.805060000017</v>
      </c>
      <c r="H121" s="121">
        <f>H122+H123+H124+H125</f>
        <v>26482.194939999979</v>
      </c>
      <c r="I121" s="121">
        <f>I122+I123+I124+I125</f>
        <v>27035.861110000009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65.39799</f>
        <v>65.397989999999993</v>
      </c>
      <c r="G122" s="123">
        <f>4573.52673000001</f>
        <v>4573.5267300000096</v>
      </c>
      <c r="H122" s="123">
        <f>E122-G122</f>
        <v>6902.4732699999904</v>
      </c>
      <c r="I122" s="123">
        <f>6019.30742000001</f>
        <v>6019.3074200000101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21.9053</f>
        <v>21.9053</v>
      </c>
      <c r="G123" s="123">
        <f>4886.99299000001</f>
        <v>4886.9929900000097</v>
      </c>
      <c r="H123" s="123">
        <f>E123-G123</f>
        <v>6948.0070099999903</v>
      </c>
      <c r="I123" s="123">
        <f>7782.51647</f>
        <v>7782.5164699999996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67.11105</f>
        <v>67.111050000000006</v>
      </c>
      <c r="G124" s="123">
        <f>3891.62931</f>
        <v>3891.6293099999998</v>
      </c>
      <c r="H124" s="123">
        <f>E124-G124</f>
        <v>6581.3706899999997</v>
      </c>
      <c r="I124" s="123">
        <f>6368.06184</f>
        <v>6368.0618400000003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122.5</f>
        <v>122.5</v>
      </c>
      <c r="G125" s="123">
        <f>4047.23323-699.5772</f>
        <v>3347.6560300000001</v>
      </c>
      <c r="H125" s="123">
        <f>E125-G125</f>
        <v>6050.3439699999999</v>
      </c>
      <c r="I125" s="123">
        <f>6865.97538</f>
        <v>6865.9753799999999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6.6369100000000003</v>
      </c>
      <c r="G126" s="129">
        <f>SUM(G127:G128)</f>
        <v>1900.7987699999999</v>
      </c>
      <c r="H126" s="129">
        <f>H127+H128</f>
        <v>4227.2012300000006</v>
      </c>
      <c r="I126" s="129">
        <f>SUM(I127:I128)</f>
        <v>5872.0058200000003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5.34271</f>
        <v>5.3427100000000003</v>
      </c>
      <c r="G127" s="123">
        <f>1706.49923</f>
        <v>1706.4992299999999</v>
      </c>
      <c r="H127" s="123">
        <f t="shared" ref="H127:H135" si="13">E127-G127</f>
        <v>3921.5007700000001</v>
      </c>
      <c r="I127" s="123">
        <f>5728.63216</f>
        <v>5728.6321600000001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1.2942</f>
        <v>1.2942</v>
      </c>
      <c r="G128" s="123">
        <f>194.29954</f>
        <v>194.29954000000001</v>
      </c>
      <c r="H128" s="123">
        <f t="shared" si="13"/>
        <v>305.70046000000002</v>
      </c>
      <c r="I128" s="123">
        <f>143.37366</f>
        <v>143.37366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108.04378</f>
        <v>108.04378</v>
      </c>
      <c r="G129" s="72">
        <f>3489.84228</f>
        <v>3489.8422799999998</v>
      </c>
      <c r="H129" s="72">
        <f t="shared" si="13"/>
        <v>4310.1577200000002</v>
      </c>
      <c r="I129" s="72">
        <f>3261.67401999998</f>
        <v>3261.6740199999799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13.02868</f>
        <v>13.02868</v>
      </c>
      <c r="H130" s="136">
        <f t="shared" si="13"/>
        <v>142.97131999999999</v>
      </c>
      <c r="I130" s="136">
        <f>16.4505</f>
        <v>16.450500000000002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179.432</f>
        <v>179.43199999999999</v>
      </c>
      <c r="H131" s="95">
        <f t="shared" si="13"/>
        <v>170.56800000000001</v>
      </c>
      <c r="I131" s="95">
        <f>345.268</f>
        <v>345.26799999999997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9.9312</f>
        <v>9.9312000000000005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0.71145</f>
        <v>0.71145000000000003</v>
      </c>
      <c r="G134" s="95">
        <f>5.85058</f>
        <v>5.8505799999999999</v>
      </c>
      <c r="H134" s="136">
        <f t="shared" si="13"/>
        <v>249.14941999999999</v>
      </c>
      <c r="I134" s="95">
        <f>81.90915</f>
        <v>81.909149999999997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72.009</f>
        <v>72.009</v>
      </c>
      <c r="H135" s="136">
        <f t="shared" si="13"/>
        <v>-72.009</v>
      </c>
      <c r="I135" s="136">
        <f>75.08831</f>
        <v>75.088310000000007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2400.8045399999996</v>
      </c>
      <c r="G137" s="73">
        <f>G115+G119+G120+G130+G131+G132+G133+G134+G135</f>
        <v>57146.899800000021</v>
      </c>
      <c r="H137" s="73">
        <f>H115+H119+H120+H130+H131+H132+H133+H134+H135</f>
        <v>93623.100199999972</v>
      </c>
      <c r="I137" s="73">
        <f>I115+I119+I120+I130+I131+I132+I133+I134+I135</f>
        <v>86568.803620000006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19.29789</f>
        <v>19.297889999999999</v>
      </c>
      <c r="F160" s="301">
        <f>798.475209999999</f>
        <v>798.47520999999904</v>
      </c>
      <c r="G160" s="42">
        <f>D160-F160-F161</f>
        <v>2156.8112700000011</v>
      </c>
      <c r="H160" s="301">
        <f>652.08372</f>
        <v>652.08371999999997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0.10693</f>
        <v>0.10693</v>
      </c>
      <c r="F161" s="148">
        <f>798.71352</f>
        <v>798.71352000000002</v>
      </c>
      <c r="G161" s="219"/>
      <c r="H161" s="148">
        <f>1196.51204</f>
        <v>1196.5120400000001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54.39313</f>
        <v>54.393129999999999</v>
      </c>
      <c r="G162" s="166">
        <f>D162-F162</f>
        <v>145.60687000000001</v>
      </c>
      <c r="H162" s="166">
        <f>51.71089</f>
        <v>51.710889999999999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777.76468</v>
      </c>
      <c r="F163" s="175">
        <f>F164+F165+F166</f>
        <v>5041.1713799999998</v>
      </c>
      <c r="G163" s="175">
        <f>D163-F163</f>
        <v>588.82862000000023</v>
      </c>
      <c r="H163" s="175">
        <f>H164+H165+H166</f>
        <v>4364.3098600000003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639.73286</f>
        <v>639.73285999999996</v>
      </c>
      <c r="F164" s="123">
        <f>3170.94826</f>
        <v>3170.9482600000001</v>
      </c>
      <c r="G164" s="123"/>
      <c r="H164" s="123">
        <f>2414.47555</f>
        <v>2414.4755500000001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102.68834</f>
        <v>102.68834</v>
      </c>
      <c r="F165" s="123">
        <f>1331.82616</f>
        <v>1331.8261600000001</v>
      </c>
      <c r="G165" s="123"/>
      <c r="H165" s="123">
        <f>1295.49849</f>
        <v>1295.4984899999999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35.34348</f>
        <v>35.34348</v>
      </c>
      <c r="F166" s="186">
        <f>538.39696</f>
        <v>538.39696000000004</v>
      </c>
      <c r="G166" s="186"/>
      <c r="H166" s="186">
        <f>654.33582</f>
        <v>654.33582000000001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797.16949999999997</v>
      </c>
      <c r="F169" s="188">
        <f>F160+F161+F162+F163+F167+F168</f>
        <v>6701.4550999999983</v>
      </c>
      <c r="G169" s="188">
        <f>D169-F169</f>
        <v>2973.5449000000017</v>
      </c>
      <c r="H169" s="188">
        <f>H160+H161+H162+H163+H167+H168</f>
        <v>6269.969610000001</v>
      </c>
      <c r="I169" s="159"/>
      <c r="J169" s="155"/>
    </row>
    <row r="170" spans="1:10" ht="42" customHeight="1" x14ac:dyDescent="0.3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435.8207</f>
        <v>435.82069999999999</v>
      </c>
      <c r="G189" s="124">
        <f>33578.69315</f>
        <v>33578.693149999999</v>
      </c>
      <c r="H189" s="124">
        <f>E189-G189</f>
        <v>9161.3068500000008</v>
      </c>
      <c r="I189" s="124">
        <f>37743.72299</f>
        <v>37743.722990000002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0.2205</f>
        <v>0.2205</v>
      </c>
      <c r="G190" s="124">
        <f>13.82206</f>
        <v>13.82206</v>
      </c>
      <c r="H190" s="124">
        <f>E190-G190</f>
        <v>86.177940000000007</v>
      </c>
      <c r="I190" s="124">
        <f>26.42272</f>
        <v>26.422720000000002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436.0412</v>
      </c>
      <c r="G192" s="190">
        <f>SUM(G189:G191)</f>
        <v>33592.515209999998</v>
      </c>
      <c r="H192" s="190">
        <f>E192-G192</f>
        <v>9293.4847900000022</v>
      </c>
      <c r="I192" s="190">
        <f>SUM(I189:I191)</f>
        <v>37770.145710000004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47.145870000000002</v>
      </c>
      <c r="F202" s="72">
        <f>F203+F204</f>
        <v>2795.8676500000001</v>
      </c>
      <c r="G202" s="72">
        <f>D202-F202</f>
        <v>406.13234999999986</v>
      </c>
      <c r="H202" s="72">
        <f>H203+H204</f>
        <v>2812.17301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44.67287</f>
        <v>44.672870000000003</v>
      </c>
      <c r="F203" s="72">
        <f>2237.85957</f>
        <v>2237.8595700000001</v>
      </c>
      <c r="G203" s="72"/>
      <c r="H203" s="72">
        <f>2281.64844</f>
        <v>2281.6484399999999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2.473</f>
        <v>2.4729999999999999</v>
      </c>
      <c r="F204" s="124">
        <f>558.00808</f>
        <v>558.00807999999995</v>
      </c>
      <c r="G204" s="168"/>
      <c r="H204" s="124">
        <f>530.52457</f>
        <v>530.52457000000004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59.63654</f>
        <v>59.636539999999997</v>
      </c>
      <c r="F205" s="72">
        <f>2754.69758</f>
        <v>2754.69758</v>
      </c>
      <c r="G205" s="72">
        <f>D205-F205</f>
        <v>949.30241999999998</v>
      </c>
      <c r="H205" s="72">
        <f>4002.8257</f>
        <v>4002.8256999999999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106.78241</v>
      </c>
      <c r="F206" s="190">
        <f>SUM(F202,F205)</f>
        <v>5550.5652300000002</v>
      </c>
      <c r="G206" s="190">
        <f>D206-F206</f>
        <v>1355.4347699999998</v>
      </c>
      <c r="H206" s="190">
        <f>SUM(H202,H205)</f>
        <v>6814.9987099999998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101.34623000000001</v>
      </c>
      <c r="F215" s="72">
        <f>F216+F217</f>
        <v>4964.2855399999999</v>
      </c>
      <c r="G215" s="72">
        <f>D215-F215</f>
        <v>551.71446000000014</v>
      </c>
      <c r="H215" s="72">
        <f>H216+H217</f>
        <v>3439.7656199999997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100.48693</f>
        <v>100.48693</v>
      </c>
      <c r="F216" s="72">
        <f>4620.15941</f>
        <v>4620.1594100000002</v>
      </c>
      <c r="G216" s="72"/>
      <c r="H216" s="72">
        <f>3156.24349</f>
        <v>3156.2434899999998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0.8593</f>
        <v>0.85929999999999995</v>
      </c>
      <c r="F217" s="124">
        <f>344.12613</f>
        <v>344.12612999999999</v>
      </c>
      <c r="G217" s="168"/>
      <c r="H217" s="124">
        <f>283.52213</f>
        <v>283.52213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45.81124</f>
        <v>45.811239999999998</v>
      </c>
      <c r="F218" s="72">
        <f>2220.25133</f>
        <v>2220.2513300000001</v>
      </c>
      <c r="G218" s="72">
        <f>D218-F218</f>
        <v>1011.7486699999999</v>
      </c>
      <c r="H218" s="72">
        <f>1590.16977</f>
        <v>1590.16977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147.15746999999999</v>
      </c>
      <c r="F219" s="190">
        <f>SUM(F215,F218)</f>
        <v>7184.5368699999999</v>
      </c>
      <c r="G219" s="190">
        <f>D219-F219</f>
        <v>1563.4631300000001</v>
      </c>
      <c r="H219" s="190">
        <f>SUM(H215,H218)</f>
        <v>5029.9353899999996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4.31909</f>
        <v>4.3190900000000001</v>
      </c>
      <c r="F237" s="124">
        <f>89.87731</f>
        <v>89.877309999999994</v>
      </c>
      <c r="G237" s="124">
        <f>D237-F237</f>
        <v>710.12269000000003</v>
      </c>
      <c r="H237" s="124">
        <f>247.17054</f>
        <v>247.17053999999999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6.03023</f>
        <v>6.0302300000000004</v>
      </c>
      <c r="F238" s="124">
        <f>297.699229999999</f>
        <v>297.69922999999898</v>
      </c>
      <c r="G238" s="124">
        <f>D238-F238</f>
        <v>408.30077000000102</v>
      </c>
      <c r="H238" s="124">
        <f>465.856259999999</f>
        <v>465.856259999999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0.82114</f>
        <v>0.82113999999999998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0.33596</f>
        <v>0.33595999999999998</v>
      </c>
      <c r="G240" s="124">
        <f>D240-F240</f>
        <v>-0.33595999999999998</v>
      </c>
      <c r="H240" s="168">
        <f>1.92872</f>
        <v>1.92872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10.349320000000001</v>
      </c>
      <c r="F241" s="190">
        <f>SUM(F237:F240)</f>
        <v>387.95749999999902</v>
      </c>
      <c r="G241" s="190">
        <f>D241-F241</f>
        <v>1128.0425000000009</v>
      </c>
      <c r="H241" s="190">
        <f>H237+H238+H239+H240</f>
        <v>715.77665999999897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193.45508999999998</v>
      </c>
      <c r="G262" s="280">
        <f t="shared" si="15"/>
        <v>1924.2177299999994</v>
      </c>
      <c r="H262" s="280">
        <f>H266+H265+H264+H263</f>
        <v>16915.782270000003</v>
      </c>
      <c r="I262" s="280">
        <f t="shared" si="15"/>
        <v>5517.9215599999998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128.8619</f>
        <v>128.86189999999999</v>
      </c>
      <c r="G263" s="284">
        <f>409.14531</f>
        <v>409.14530999999999</v>
      </c>
      <c r="H263" s="284">
        <f t="shared" ref="H263:H268" si="16">E263-G263</f>
        <v>9765.8546900000001</v>
      </c>
      <c r="I263" s="284">
        <f>1582.73521</f>
        <v>1582.7352100000001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701.78751</f>
        <v>701.78751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7.2427</f>
        <v>7.2427000000000001</v>
      </c>
      <c r="G265" s="284">
        <f>777.533069999999</f>
        <v>777.53306999999904</v>
      </c>
      <c r="H265" s="284">
        <f t="shared" si="16"/>
        <v>629.46693000000096</v>
      </c>
      <c r="I265" s="284">
        <f>1042.66545</f>
        <v>1042.66545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57.35049</f>
        <v>57.350490000000001</v>
      </c>
      <c r="G266" s="284">
        <f>701.89935</f>
        <v>701.89935000000003</v>
      </c>
      <c r="H266" s="284">
        <f t="shared" si="16"/>
        <v>3907.1006499999999</v>
      </c>
      <c r="I266" s="284">
        <f>2190.73339</f>
        <v>2190.7333899999999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35.446</f>
        <v>35.445999999999998</v>
      </c>
      <c r="G267" s="294">
        <f>1485.51059</f>
        <v>1485.5105900000001</v>
      </c>
      <c r="H267" s="294">
        <f t="shared" si="16"/>
        <v>4014.4894100000001</v>
      </c>
      <c r="I267" s="294">
        <f>4095.23824</f>
        <v>4095.2382400000001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19.090109999999999</v>
      </c>
      <c r="G268" s="295">
        <f>G270+G269</f>
        <v>1137.6964200000009</v>
      </c>
      <c r="H268" s="295">
        <f t="shared" si="16"/>
        <v>6862.3035799999989</v>
      </c>
      <c r="I268" s="295">
        <f>I270+I269</f>
        <v>1324.130700000002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331.84864</f>
        <v>331.84863999999999</v>
      </c>
      <c r="H269" s="284"/>
      <c r="I269" s="284">
        <f>451.03336</f>
        <v>451.03336000000002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19.09011</f>
        <v>19.090109999999999</v>
      </c>
      <c r="G270" s="303">
        <f>805.847780000001</f>
        <v>805.84778000000097</v>
      </c>
      <c r="H270" s="303"/>
      <c r="I270" s="303">
        <f>873.097340000002</f>
        <v>873.09734000000196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0.11492</f>
        <v>0.11491999999999999</v>
      </c>
      <c r="H271" s="294">
        <f>E271-G271</f>
        <v>12.88508</v>
      </c>
      <c r="I271" s="294">
        <f>0.5685</f>
        <v>0.56850000000000001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0.731</f>
        <v>0.73099999999999998</v>
      </c>
      <c r="G272" s="294">
        <f>27.83729</f>
        <v>27.837289999999999</v>
      </c>
      <c r="H272" s="294">
        <f>E272-G272</f>
        <v>-27.837289999999999</v>
      </c>
      <c r="I272" s="294">
        <f>43.1762</f>
        <v>43.176200000000001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248.72219999999999</v>
      </c>
      <c r="G273" s="312">
        <f t="shared" si="17"/>
        <v>4575.3769500000008</v>
      </c>
      <c r="H273" s="312">
        <f>H262+H267+H268+H271+H272</f>
        <v>27777.623050000006</v>
      </c>
      <c r="I273" s="312">
        <f t="shared" si="17"/>
        <v>10981.0352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2363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928.56393000000003</v>
      </c>
      <c r="G294" s="82">
        <f>D294-F294</f>
        <v>-149.56393000000003</v>
      </c>
      <c r="H294" s="25">
        <f>SUM(H295:H296)</f>
        <v>1023.31638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687.65275</f>
        <v>687.65274999999997</v>
      </c>
      <c r="G295" s="199"/>
      <c r="H295" s="198">
        <f>779.02908</f>
        <v>779.02908000000002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648.55110000000002</v>
      </c>
      <c r="G297" s="82">
        <f>D297-F297</f>
        <v>130.44889999999998</v>
      </c>
      <c r="H297" s="25">
        <f>SUM(H298:H299)</f>
        <v>990.66624999999999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509.423</f>
        <v>509.423</v>
      </c>
      <c r="G298" s="94"/>
      <c r="H298" s="29">
        <f>766.97823</f>
        <v>766.97823000000005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223.68802</f>
        <v>223.68801999999999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805</v>
      </c>
      <c r="E300" s="34">
        <f>SUM(E301:E302)</f>
        <v>76.309100000000001</v>
      </c>
      <c r="F300" s="34">
        <f>SUM(F301:F302)</f>
        <v>736.71519000000001</v>
      </c>
      <c r="G300" s="82">
        <f>D300-F300</f>
        <v>68.284809999999993</v>
      </c>
      <c r="H300" s="34">
        <f>SUM(H301:H302)</f>
        <v>734.18461000000002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69.6326</f>
        <v>69.632599999999996</v>
      </c>
      <c r="F301" s="29">
        <f>570.36234</f>
        <v>570.36234000000002</v>
      </c>
      <c r="G301" s="94"/>
      <c r="H301" s="29">
        <f>506.20254</f>
        <v>506.20254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6.6765</f>
        <v>6.6764999999999999</v>
      </c>
      <c r="F302" s="29">
        <f>166.35285</f>
        <v>166.35284999999999</v>
      </c>
      <c r="G302" s="105"/>
      <c r="H302" s="29">
        <f>227.98207</f>
        <v>227.98206999999999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2363</v>
      </c>
      <c r="E304" s="39">
        <f>E294+E297+E300+E303</f>
        <v>76.309100000000001</v>
      </c>
      <c r="F304" s="39">
        <f>F294+F297+F300+F303</f>
        <v>2313.8302199999998</v>
      </c>
      <c r="G304" s="40">
        <f>D304-F304</f>
        <v>49.169780000000173</v>
      </c>
      <c r="H304" s="39">
        <f>H294+H297+H300+H303</f>
        <v>2748.1672399999998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132</v>
      </c>
      <c r="D322" s="237">
        <v>238</v>
      </c>
      <c r="E322" s="29">
        <f>1.28646</f>
        <v>1.2864599999999999</v>
      </c>
      <c r="F322" s="29">
        <f>195.39644</f>
        <v>195.39644000000001</v>
      </c>
      <c r="G322" s="238">
        <f>D322-F322</f>
        <v>42.603559999999987</v>
      </c>
      <c r="H322" s="29">
        <f>113.86072</f>
        <v>113.86072</v>
      </c>
      <c r="I322" s="242"/>
      <c r="J322" s="127"/>
    </row>
    <row r="323" spans="1:10" ht="17.5" customHeight="1" x14ac:dyDescent="0.35">
      <c r="A323" s="223"/>
      <c r="B323" s="69"/>
      <c r="C323" s="239" t="s">
        <v>133</v>
      </c>
      <c r="D323" s="240">
        <v>21237</v>
      </c>
      <c r="E323" s="29">
        <f>59.24134</f>
        <v>59.241340000000001</v>
      </c>
      <c r="F323" s="29">
        <f>541.687810000001</f>
        <v>541.68781000000104</v>
      </c>
      <c r="G323" s="241">
        <f>D323-F323</f>
        <v>20695.312190000001</v>
      </c>
      <c r="H323" s="29">
        <f>581.898190000001</f>
        <v>581.89819000000102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60.527799999999999</v>
      </c>
      <c r="F324" s="39">
        <f>F323+F322</f>
        <v>737.08425000000102</v>
      </c>
      <c r="G324" s="39">
        <f>G323+G322</f>
        <v>20737.91575</v>
      </c>
      <c r="H324" s="39">
        <f>H323+H322</f>
        <v>695.75891000000104</v>
      </c>
      <c r="I324" s="26"/>
      <c r="J324" s="127"/>
    </row>
    <row r="325" spans="1:10" ht="22.5" customHeight="1" x14ac:dyDescent="0.3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3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25&amp;R22.06.2026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2026-06-22T12:54:01Z</dcterms:modified>
</cp:coreProperties>
</file>