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iskeridirektoratet.no\Ressurs\Brukere\krsku\UTREDNING M.V\"/>
    </mc:Choice>
  </mc:AlternateContent>
  <bookViews>
    <workbookView xWindow="0" yWindow="0" windowWidth="28800" windowHeight="13500"/>
  </bookViews>
  <sheets>
    <sheet name="kvoter_torsk_nord_96-21" sheetId="3" r:id="rId1"/>
    <sheet name="kvoter_hyse_nord_96-21" sheetId="11" r:id="rId2"/>
    <sheet name="kvoter_sei_nord_96-21" sheetId="7" r:id="rId3"/>
    <sheet name="kvoter_NS_96-21" sheetId="12" r:id="rId4"/>
    <sheet name="kvoter_blåkveite_nord_10-21" sheetId="9" r:id="rId5"/>
    <sheet name="kvoter_snabeluer_nord_14-21" sheetId="10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6" i="12" l="1"/>
  <c r="H36" i="12"/>
  <c r="E36" i="12"/>
  <c r="D36" i="12"/>
  <c r="I35" i="12"/>
  <c r="H35" i="12"/>
  <c r="E35" i="12"/>
  <c r="D35" i="12"/>
  <c r="B35" i="12"/>
  <c r="I34" i="12"/>
  <c r="H34" i="12"/>
  <c r="E34" i="12"/>
  <c r="D34" i="12"/>
  <c r="I33" i="12"/>
  <c r="H33" i="12"/>
  <c r="E33" i="12"/>
  <c r="D33" i="12"/>
  <c r="B33" i="12"/>
  <c r="J28" i="12"/>
  <c r="K28" i="12" s="1"/>
  <c r="C28" i="12"/>
  <c r="F28" i="12" s="1"/>
  <c r="G28" i="12" s="1"/>
  <c r="L27" i="12"/>
  <c r="J27" i="12"/>
  <c r="K27" i="12" s="1"/>
  <c r="C27" i="12"/>
  <c r="F27" i="12" s="1"/>
  <c r="G27" i="12" s="1"/>
  <c r="L26" i="12"/>
  <c r="K26" i="12"/>
  <c r="J26" i="12"/>
  <c r="C26" i="12"/>
  <c r="F26" i="12" s="1"/>
  <c r="G26" i="12" s="1"/>
  <c r="J25" i="12"/>
  <c r="L25" i="12" s="1"/>
  <c r="G25" i="12"/>
  <c r="F25" i="12"/>
  <c r="C25" i="12"/>
  <c r="J24" i="12"/>
  <c r="L24" i="12" s="1"/>
  <c r="F24" i="12"/>
  <c r="G24" i="12" s="1"/>
  <c r="L23" i="12"/>
  <c r="K23" i="12"/>
  <c r="J23" i="12"/>
  <c r="F23" i="12"/>
  <c r="G23" i="12" s="1"/>
  <c r="J22" i="12"/>
  <c r="L22" i="12" s="1"/>
  <c r="G22" i="12"/>
  <c r="F22" i="12"/>
  <c r="C22" i="12"/>
  <c r="J21" i="12"/>
  <c r="K21" i="12" s="1"/>
  <c r="C21" i="12"/>
  <c r="C33" i="12" s="1"/>
  <c r="L20" i="12"/>
  <c r="K20" i="12"/>
  <c r="J20" i="12"/>
  <c r="F20" i="12"/>
  <c r="G20" i="12" s="1"/>
  <c r="J19" i="12"/>
  <c r="J33" i="12" s="1"/>
  <c r="G19" i="12"/>
  <c r="F19" i="12"/>
  <c r="J18" i="12"/>
  <c r="K18" i="12" s="1"/>
  <c r="F18" i="12"/>
  <c r="G18" i="12" s="1"/>
  <c r="L17" i="12"/>
  <c r="K17" i="12"/>
  <c r="J17" i="12"/>
  <c r="F17" i="12"/>
  <c r="G17" i="12" s="1"/>
  <c r="J16" i="12"/>
  <c r="K16" i="12" s="1"/>
  <c r="G16" i="12"/>
  <c r="F16" i="12"/>
  <c r="J15" i="12"/>
  <c r="L15" i="12" s="1"/>
  <c r="B15" i="12"/>
  <c r="B36" i="12" s="1"/>
  <c r="L14" i="12"/>
  <c r="K14" i="12"/>
  <c r="J14" i="12"/>
  <c r="F14" i="12"/>
  <c r="G14" i="12" s="1"/>
  <c r="J13" i="12"/>
  <c r="L13" i="12" s="1"/>
  <c r="G13" i="12"/>
  <c r="F13" i="12"/>
  <c r="J12" i="12"/>
  <c r="K12" i="12" s="1"/>
  <c r="F12" i="12"/>
  <c r="G12" i="12" s="1"/>
  <c r="L11" i="12"/>
  <c r="K11" i="12"/>
  <c r="J11" i="12"/>
  <c r="F11" i="12"/>
  <c r="G11" i="12" s="1"/>
  <c r="J10" i="12"/>
  <c r="L10" i="12" s="1"/>
  <c r="G10" i="12"/>
  <c r="F10" i="12"/>
  <c r="J9" i="12"/>
  <c r="L9" i="12" s="1"/>
  <c r="F9" i="12"/>
  <c r="G9" i="12" s="1"/>
  <c r="L8" i="12"/>
  <c r="K8" i="12"/>
  <c r="J8" i="12"/>
  <c r="J36" i="12" s="1"/>
  <c r="F8" i="12"/>
  <c r="G8" i="12" s="1"/>
  <c r="F7" i="12"/>
  <c r="F6" i="12"/>
  <c r="F5" i="12"/>
  <c r="F4" i="12"/>
  <c r="F3" i="12"/>
  <c r="K13" i="12" l="1"/>
  <c r="C15" i="12"/>
  <c r="K19" i="12"/>
  <c r="B34" i="12"/>
  <c r="J34" i="12"/>
  <c r="F21" i="12"/>
  <c r="K10" i="12"/>
  <c r="K36" i="12" s="1"/>
  <c r="L16" i="12"/>
  <c r="L34" i="12" s="1"/>
  <c r="K24" i="12"/>
  <c r="K9" i="12"/>
  <c r="L12" i="12"/>
  <c r="L36" i="12" s="1"/>
  <c r="K15" i="12"/>
  <c r="K34" i="12" s="1"/>
  <c r="L18" i="12"/>
  <c r="L21" i="12"/>
  <c r="L28" i="12"/>
  <c r="L19" i="12"/>
  <c r="K22" i="12"/>
  <c r="K35" i="12" s="1"/>
  <c r="K25" i="12"/>
  <c r="J35" i="12"/>
  <c r="E5" i="10"/>
  <c r="E6" i="10"/>
  <c r="E7" i="10"/>
  <c r="E8" i="10"/>
  <c r="E9" i="10"/>
  <c r="E10" i="10"/>
  <c r="E11" i="10"/>
  <c r="E4" i="10"/>
  <c r="C36" i="7"/>
  <c r="C37" i="7"/>
  <c r="L35" i="12" l="1"/>
  <c r="K33" i="12"/>
  <c r="F35" i="12"/>
  <c r="F33" i="12"/>
  <c r="G21" i="12"/>
  <c r="L33" i="12"/>
  <c r="F15" i="12"/>
  <c r="C34" i="12"/>
  <c r="J7" i="9"/>
  <c r="K6" i="9" s="1"/>
  <c r="F5" i="9"/>
  <c r="F6" i="9"/>
  <c r="F7" i="9"/>
  <c r="F8" i="9"/>
  <c r="F9" i="9"/>
  <c r="F10" i="9"/>
  <c r="F11" i="9"/>
  <c r="F4" i="9"/>
  <c r="F13" i="9"/>
  <c r="F14" i="9"/>
  <c r="F15" i="9"/>
  <c r="F12" i="9"/>
  <c r="G15" i="12" l="1"/>
  <c r="F36" i="12"/>
  <c r="F34" i="12"/>
  <c r="G35" i="12"/>
  <c r="G33" i="12"/>
  <c r="K4" i="9"/>
  <c r="K7" i="9" s="1"/>
  <c r="G36" i="12" l="1"/>
  <c r="G34" i="12"/>
  <c r="F20" i="7"/>
  <c r="J20" i="7" s="1"/>
  <c r="E37" i="7"/>
  <c r="C34" i="7"/>
  <c r="B37" i="7"/>
  <c r="B36" i="7"/>
  <c r="B35" i="7"/>
  <c r="B34" i="7"/>
  <c r="E36" i="7"/>
  <c r="G36" i="7"/>
  <c r="I36" i="7"/>
  <c r="C35" i="7"/>
  <c r="E35" i="7"/>
  <c r="G35" i="7"/>
  <c r="I35" i="7"/>
  <c r="E34" i="7"/>
  <c r="G34" i="7"/>
  <c r="I34" i="7"/>
  <c r="F4" i="7" l="1"/>
  <c r="F5" i="7"/>
  <c r="F6" i="7"/>
  <c r="F7" i="7"/>
  <c r="F8" i="7"/>
  <c r="F9" i="7"/>
  <c r="J9" i="7" s="1"/>
  <c r="F10" i="7"/>
  <c r="F11" i="7"/>
  <c r="J11" i="7" s="1"/>
  <c r="F12" i="7"/>
  <c r="F13" i="7"/>
  <c r="F14" i="7"/>
  <c r="J14" i="7" s="1"/>
  <c r="F15" i="7"/>
  <c r="F16" i="7"/>
  <c r="F17" i="7"/>
  <c r="F18" i="7"/>
  <c r="F19" i="7"/>
  <c r="J19" i="7" s="1"/>
  <c r="H20" i="7"/>
  <c r="F21" i="7"/>
  <c r="F22" i="7"/>
  <c r="F23" i="7"/>
  <c r="F24" i="7"/>
  <c r="F25" i="7"/>
  <c r="F26" i="7"/>
  <c r="F27" i="7"/>
  <c r="C34" i="11"/>
  <c r="D34" i="11"/>
  <c r="E34" i="11"/>
  <c r="F34" i="11"/>
  <c r="G34" i="11"/>
  <c r="H34" i="11"/>
  <c r="B34" i="11"/>
  <c r="C33" i="11"/>
  <c r="D33" i="11"/>
  <c r="E33" i="11"/>
  <c r="F33" i="11"/>
  <c r="G33" i="11"/>
  <c r="H33" i="11"/>
  <c r="B33" i="11"/>
  <c r="C32" i="11"/>
  <c r="D32" i="11"/>
  <c r="E32" i="11"/>
  <c r="F32" i="11"/>
  <c r="G32" i="11"/>
  <c r="H32" i="11"/>
  <c r="B32" i="11"/>
  <c r="B31" i="11"/>
  <c r="C31" i="11"/>
  <c r="D31" i="11"/>
  <c r="E31" i="11"/>
  <c r="F31" i="11"/>
  <c r="G31" i="11"/>
  <c r="H31" i="11"/>
  <c r="H27" i="7" l="1"/>
  <c r="J27" i="7"/>
  <c r="H11" i="7"/>
  <c r="H26" i="7"/>
  <c r="J26" i="7"/>
  <c r="H18" i="7"/>
  <c r="J18" i="7"/>
  <c r="H10" i="7"/>
  <c r="J10" i="7"/>
  <c r="H12" i="7"/>
  <c r="J12" i="7"/>
  <c r="H25" i="7"/>
  <c r="J25" i="7"/>
  <c r="H17" i="7"/>
  <c r="J17" i="7"/>
  <c r="H24" i="7"/>
  <c r="J24" i="7"/>
  <c r="H16" i="7"/>
  <c r="J16" i="7"/>
  <c r="H8" i="7"/>
  <c r="J8" i="7"/>
  <c r="H23" i="7"/>
  <c r="J23" i="7"/>
  <c r="H15" i="7"/>
  <c r="J15" i="7"/>
  <c r="H7" i="7"/>
  <c r="J7" i="7"/>
  <c r="H4" i="7"/>
  <c r="J4" i="7"/>
  <c r="H22" i="7"/>
  <c r="J22" i="7"/>
  <c r="H6" i="7"/>
  <c r="J6" i="7"/>
  <c r="H21" i="7"/>
  <c r="J21" i="7"/>
  <c r="H13" i="7"/>
  <c r="J13" i="7"/>
  <c r="H5" i="7"/>
  <c r="J5" i="7"/>
  <c r="H9" i="7"/>
  <c r="H19" i="7"/>
  <c r="H14" i="7"/>
  <c r="G34" i="3"/>
  <c r="G33" i="3"/>
  <c r="G32" i="3"/>
  <c r="G31" i="3"/>
  <c r="H3" i="3"/>
  <c r="I3" i="7" l="1"/>
  <c r="G3" i="7"/>
  <c r="C11" i="7"/>
  <c r="C12" i="7"/>
  <c r="D28" i="7"/>
  <c r="I37" i="7" l="1"/>
  <c r="J35" i="7"/>
  <c r="D35" i="7"/>
  <c r="D36" i="7"/>
  <c r="D34" i="7"/>
  <c r="F28" i="7"/>
  <c r="J28" i="7" s="1"/>
  <c r="J34" i="7" s="1"/>
  <c r="G37" i="7"/>
  <c r="D3" i="7"/>
  <c r="F5" i="3"/>
  <c r="F8" i="3"/>
  <c r="F9" i="3"/>
  <c r="E26" i="3"/>
  <c r="C26" i="3"/>
  <c r="D37" i="7" l="1"/>
  <c r="F3" i="7"/>
  <c r="J3" i="7" s="1"/>
  <c r="J36" i="7"/>
  <c r="F36" i="7"/>
  <c r="F35" i="7"/>
  <c r="F34" i="7"/>
  <c r="H28" i="7"/>
  <c r="H34" i="7" s="1"/>
  <c r="J37" i="7"/>
  <c r="F26" i="3"/>
  <c r="E27" i="3"/>
  <c r="F27" i="3" s="1"/>
  <c r="C27" i="3"/>
  <c r="H35" i="7" l="1"/>
  <c r="H36" i="7"/>
  <c r="F37" i="7"/>
  <c r="H3" i="7"/>
  <c r="H37" i="7" s="1"/>
  <c r="E32" i="3"/>
  <c r="H27" i="3"/>
  <c r="H28" i="3"/>
  <c r="E28" i="3"/>
  <c r="C28" i="3"/>
  <c r="F28" i="3" l="1"/>
  <c r="E31" i="3"/>
  <c r="H26" i="3"/>
  <c r="D25" i="3"/>
  <c r="C25" i="3"/>
  <c r="D24" i="3"/>
  <c r="C24" i="3"/>
  <c r="D23" i="3"/>
  <c r="C23" i="3"/>
  <c r="D22" i="3"/>
  <c r="C22" i="3"/>
  <c r="D21" i="3"/>
  <c r="C21" i="3"/>
  <c r="D20" i="3"/>
  <c r="C20" i="3"/>
  <c r="B20" i="3"/>
  <c r="D19" i="3"/>
  <c r="C19" i="3"/>
  <c r="B19" i="3"/>
  <c r="D18" i="3"/>
  <c r="C18" i="3"/>
  <c r="B18" i="3"/>
  <c r="D17" i="3"/>
  <c r="C17" i="3"/>
  <c r="B17" i="3"/>
  <c r="D16" i="3"/>
  <c r="F16" i="3" s="1"/>
  <c r="C16" i="3"/>
  <c r="B16" i="3"/>
  <c r="D15" i="3"/>
  <c r="C15" i="3"/>
  <c r="B15" i="3"/>
  <c r="D14" i="3"/>
  <c r="C14" i="3"/>
  <c r="B14" i="3"/>
  <c r="D13" i="3"/>
  <c r="D12" i="3"/>
  <c r="H11" i="3"/>
  <c r="D11" i="3"/>
  <c r="E10" i="3"/>
  <c r="E33" i="3" s="1"/>
  <c r="C10" i="3"/>
  <c r="H9" i="3"/>
  <c r="C9" i="3"/>
  <c r="H8" i="3"/>
  <c r="C8" i="3"/>
  <c r="D7" i="3"/>
  <c r="E7" i="3" s="1"/>
  <c r="F7" i="3" s="1"/>
  <c r="C7" i="3"/>
  <c r="H6" i="3"/>
  <c r="D6" i="3"/>
  <c r="C6" i="3"/>
  <c r="H5" i="3"/>
  <c r="C5" i="3"/>
  <c r="H4" i="3"/>
  <c r="E4" i="3"/>
  <c r="F4" i="3" s="1"/>
  <c r="C4" i="3"/>
  <c r="E3" i="3"/>
  <c r="C3" i="3"/>
  <c r="B31" i="3" l="1"/>
  <c r="B33" i="3"/>
  <c r="B32" i="3"/>
  <c r="B34" i="3"/>
  <c r="D31" i="3"/>
  <c r="C34" i="3"/>
  <c r="F6" i="3"/>
  <c r="D34" i="3"/>
  <c r="D32" i="3"/>
  <c r="C33" i="3"/>
  <c r="C32" i="3"/>
  <c r="D33" i="3"/>
  <c r="C31" i="3"/>
  <c r="E34" i="3"/>
  <c r="F3" i="3"/>
  <c r="H19" i="3"/>
  <c r="F19" i="3"/>
  <c r="H17" i="3"/>
  <c r="F17" i="3"/>
  <c r="F11" i="3"/>
  <c r="H20" i="3"/>
  <c r="F20" i="3"/>
  <c r="H24" i="3"/>
  <c r="F24" i="3"/>
  <c r="H23" i="3"/>
  <c r="F23" i="3"/>
  <c r="H15" i="3"/>
  <c r="F15" i="3"/>
  <c r="H21" i="3"/>
  <c r="F21" i="3"/>
  <c r="H14" i="3"/>
  <c r="F14" i="3"/>
  <c r="H10" i="3"/>
  <c r="F10" i="3"/>
  <c r="H12" i="3"/>
  <c r="F12" i="3"/>
  <c r="H18" i="3"/>
  <c r="F18" i="3"/>
  <c r="H25" i="3"/>
  <c r="F25" i="3"/>
  <c r="H13" i="3"/>
  <c r="F13" i="3"/>
  <c r="H22" i="3"/>
  <c r="F22" i="3"/>
  <c r="H7" i="3"/>
  <c r="H16" i="3"/>
  <c r="F31" i="3" l="1"/>
  <c r="F34" i="3" s="1"/>
  <c r="H31" i="3"/>
  <c r="H34" i="3" s="1"/>
  <c r="F32" i="3"/>
  <c r="F33" i="3"/>
  <c r="H33" i="3"/>
  <c r="H32" i="3"/>
</calcChain>
</file>

<file path=xl/sharedStrings.xml><?xml version="1.0" encoding="utf-8"?>
<sst xmlns="http://schemas.openxmlformats.org/spreadsheetml/2006/main" count="172" uniqueCount="84">
  <si>
    <t>År</t>
  </si>
  <si>
    <t>Totalkvote torsk</t>
  </si>
  <si>
    <t>Totalkvote hyse</t>
  </si>
  <si>
    <t>10 år</t>
  </si>
  <si>
    <t>15 år</t>
  </si>
  <si>
    <t>20 år</t>
  </si>
  <si>
    <t>2012-2021</t>
  </si>
  <si>
    <t>2007-2021</t>
  </si>
  <si>
    <t>2002-2021</t>
  </si>
  <si>
    <t>Totalkvote sei</t>
  </si>
  <si>
    <t>1996-2021</t>
  </si>
  <si>
    <t>26 år</t>
  </si>
  <si>
    <t>Disponibel torskekvote etter avsetninger</t>
  </si>
  <si>
    <t>Torsketråls andel av trålkvoten</t>
  </si>
  <si>
    <t>Seitråls andel av trålkvoten</t>
  </si>
  <si>
    <t>Kvoter torsk nord for 62°N i perioden 1996 til 2021</t>
  </si>
  <si>
    <t>Referanseperioder med gjennomsnittsverdier:</t>
  </si>
  <si>
    <t>Kvoter hyse nord for 62°N i perioden 1996 til 2021</t>
  </si>
  <si>
    <t>Disponibel hysekvote etter avsetninger</t>
  </si>
  <si>
    <t>Kvoter sei nord for 62°N i perioden 1996 til 2021</t>
  </si>
  <si>
    <t>Disponibel seikvote etter avsetninger</t>
  </si>
  <si>
    <t>Torsketråls andel av trålkvote</t>
  </si>
  <si>
    <t>Avsetning bifangst pelagisk trål/  nordsjøtrål</t>
  </si>
  <si>
    <t>Kvote torsketrål</t>
  </si>
  <si>
    <t>Kvote torske-trål</t>
  </si>
  <si>
    <r>
      <t>Gruppekvote trål ekskl. avsetning</t>
    </r>
    <r>
      <rPr>
        <b/>
        <vertAlign val="superscript"/>
        <sz val="11"/>
        <color theme="1"/>
        <rFont val="Palatino Linotype"/>
        <family val="1"/>
      </rPr>
      <t>1</t>
    </r>
  </si>
  <si>
    <r>
      <rPr>
        <vertAlign val="superscript"/>
        <sz val="10"/>
        <color theme="1"/>
        <rFont val="Palatino Linotype"/>
        <family val="1"/>
      </rPr>
      <t>1</t>
    </r>
    <r>
      <rPr>
        <sz val="10"/>
        <color theme="1"/>
        <rFont val="Palatino Linotype"/>
        <family val="1"/>
      </rPr>
      <t xml:space="preserve"> Avsetning til bifangst pelagisk trål/norsjøtrål har vært tatt av seitrål sine andeler etter fordeling av gruppekvote til torsketrål-seitrål (80% - 20%)</t>
    </r>
  </si>
  <si>
    <t>Kvote Seitrål</t>
  </si>
  <si>
    <t>Seitråls andel av trålkvote</t>
  </si>
  <si>
    <r>
      <rPr>
        <vertAlign val="superscript"/>
        <sz val="10"/>
        <color theme="1"/>
        <rFont val="Palatino Linotype"/>
        <family val="1"/>
      </rPr>
      <t>1</t>
    </r>
    <r>
      <rPr>
        <sz val="10"/>
        <color theme="1"/>
        <rFont val="Palatino Linotype"/>
        <family val="1"/>
      </rPr>
      <t xml:space="preserve"> Nordsjøtrålere er en samlebetegnelse for fartøy med nordsjøtråltillatelse, pelagisk tråltillatelse og avgrenset nordsjøtråltillatelse</t>
    </r>
  </si>
  <si>
    <r>
      <t>Fast andel nordsjø-trålere</t>
    </r>
    <r>
      <rPr>
        <b/>
        <vertAlign val="superscript"/>
        <sz val="11"/>
        <color theme="1"/>
        <rFont val="Palatino Linotype"/>
        <family val="1"/>
      </rPr>
      <t>1</t>
    </r>
  </si>
  <si>
    <t>Sum torsketrål &amp; seitrål</t>
  </si>
  <si>
    <t>Gruppe-kvote trål</t>
  </si>
  <si>
    <t>Kvote seitrål</t>
  </si>
  <si>
    <t>Antall år</t>
  </si>
  <si>
    <t>Kvoter blåkveite nord for 62°N i perioden 2010 til 2021</t>
  </si>
  <si>
    <t>Totalkvote blåkvote</t>
  </si>
  <si>
    <t>Disponibel blåkveite  etter avsetninger</t>
  </si>
  <si>
    <t>Åpne grupper</t>
  </si>
  <si>
    <r>
      <t>Kystfartøy under 28 meter st. lengde</t>
    </r>
    <r>
      <rPr>
        <b/>
        <vertAlign val="superscript"/>
        <sz val="11"/>
        <color theme="1"/>
        <rFont val="Palatino Linotype"/>
        <family val="1"/>
      </rPr>
      <t>2</t>
    </r>
  </si>
  <si>
    <r>
      <t>Kystfartøy over 28 meter st. lengde</t>
    </r>
    <r>
      <rPr>
        <b/>
        <vertAlign val="superscript"/>
        <sz val="11"/>
        <color theme="1"/>
        <rFont val="Palatino Linotype"/>
        <family val="1"/>
      </rPr>
      <t>3</t>
    </r>
  </si>
  <si>
    <r>
      <t>Gruppekvote havfiskeflåten</t>
    </r>
    <r>
      <rPr>
        <b/>
        <vertAlign val="superscript"/>
        <sz val="11"/>
        <color theme="1"/>
        <rFont val="Palatino Linotype"/>
        <family val="1"/>
      </rPr>
      <t>4</t>
    </r>
  </si>
  <si>
    <r>
      <t xml:space="preserve">1 </t>
    </r>
    <r>
      <rPr>
        <sz val="10"/>
        <color theme="1"/>
        <rFont val="Palatino Linotype"/>
        <family val="1"/>
      </rPr>
      <t>Skulle også dekke noe bifangst før 2018</t>
    </r>
  </si>
  <si>
    <r>
      <rPr>
        <vertAlign val="superscript"/>
        <sz val="10"/>
        <color theme="1"/>
        <rFont val="Palatino Linotype"/>
        <family val="1"/>
      </rPr>
      <t xml:space="preserve">4 </t>
    </r>
    <r>
      <rPr>
        <sz val="10"/>
        <color theme="1"/>
        <rFont val="Palatino Linotype"/>
        <family val="1"/>
      </rPr>
      <t>Fartøy med torsketråltillatelse, seitråltillatelse og konvensjonelle havfiskefartøy, regulert med like fartøykvoter de siste årene</t>
    </r>
  </si>
  <si>
    <r>
      <t>3</t>
    </r>
    <r>
      <rPr>
        <sz val="10"/>
        <color theme="1"/>
        <rFont val="Palatino Linotype"/>
        <family val="1"/>
      </rPr>
      <t>Åpen gruppe for fartøy over 28 meter største lengde, bifangstregulering</t>
    </r>
  </si>
  <si>
    <t>Havfiskeflåten</t>
  </si>
  <si>
    <t>Torsketrålere</t>
  </si>
  <si>
    <t>Seitrålere</t>
  </si>
  <si>
    <t>Konvensjonelle havfiskefartøy</t>
  </si>
  <si>
    <t>Totalt</t>
  </si>
  <si>
    <r>
      <t xml:space="preserve">2 </t>
    </r>
    <r>
      <rPr>
        <sz val="10"/>
        <color theme="1"/>
        <rFont val="Palatino Linotype"/>
        <family val="1"/>
      </rPr>
      <t>Åpen gruppe for fartøy under 28 meter største lengde, regulert med maksimalkvoter i perioder ellers bifangstregulering</t>
    </r>
  </si>
  <si>
    <t>Referanse-periode</t>
  </si>
  <si>
    <t>Gjennom-snittlige andeler torsketrål</t>
  </si>
  <si>
    <t>Gjennom-snittlige andeler seitrål</t>
  </si>
  <si>
    <t>Total-kvote sei</t>
  </si>
  <si>
    <t xml:space="preserve">Disponibel seikvote etter av-setninger </t>
  </si>
  <si>
    <t>Not/ konv</t>
  </si>
  <si>
    <t>Variabel andel nord-sjøtrålere</t>
  </si>
  <si>
    <r>
      <t>Forsk-ning og under-visning</t>
    </r>
    <r>
      <rPr>
        <b/>
        <vertAlign val="superscript"/>
        <sz val="11"/>
        <color theme="1"/>
        <rFont val="Palatino Linotype"/>
        <family val="1"/>
      </rPr>
      <t>1</t>
    </r>
  </si>
  <si>
    <t>Kvote-faktorer</t>
  </si>
  <si>
    <t>Vedlegg 2a</t>
  </si>
  <si>
    <t>Vedlegg 2b</t>
  </si>
  <si>
    <t>Vedlegg 2c</t>
  </si>
  <si>
    <t xml:space="preserve">Vi ser derfor på fordeling av trålkvote til torsketrål/seitrål ekslusive avsetningen til bifangst for å bergne historiske andeler </t>
  </si>
  <si>
    <t>Dette er ikke mulig i et system med faste kvotefaktorer og avsetning må derfor tas før fordeling på fartøygrupper (ekstrakvoteordninger)</t>
  </si>
  <si>
    <t>Gjennom-snittlige andeler torske-trål</t>
  </si>
  <si>
    <t>Vedlegg 2d</t>
  </si>
  <si>
    <t>Vedlegg 2e</t>
  </si>
  <si>
    <t xml:space="preserve">  Havfiskeflåten tildelt egen gruppekvote siden 2018</t>
  </si>
  <si>
    <t>Fremtidig fordeling lukkede grupper</t>
  </si>
  <si>
    <t>Kvoter snabeluer nord for 62°N i perioden 2014 til 2021</t>
  </si>
  <si>
    <t>Vedlegg 2f</t>
  </si>
  <si>
    <t>Forsk-ning og under-visning</t>
  </si>
  <si>
    <t>Disponibel kvote trålgruppen</t>
  </si>
  <si>
    <r>
      <t>Konven-sjonelle</t>
    </r>
    <r>
      <rPr>
        <b/>
        <vertAlign val="superscript"/>
        <sz val="11"/>
        <color theme="1"/>
        <rFont val="Palatino Linotype"/>
        <family val="1"/>
      </rPr>
      <t>1</t>
    </r>
  </si>
  <si>
    <r>
      <t xml:space="preserve">1 </t>
    </r>
    <r>
      <rPr>
        <sz val="10"/>
        <rFont val="Palatino Linotype"/>
        <family val="1"/>
      </rPr>
      <t>Regulert med bifangst</t>
    </r>
  </si>
  <si>
    <r>
      <t xml:space="preserve">2  </t>
    </r>
    <r>
      <rPr>
        <sz val="10"/>
        <color theme="1"/>
        <rFont val="Palatino Linotype"/>
        <family val="1"/>
      </rPr>
      <t>Fartøy med torsketråltillatelse og seitråltillatelse, regulert med like fartøy-/maksimalkvoter de siste årene</t>
    </r>
  </si>
  <si>
    <r>
      <t>Disponibel trålkvote</t>
    </r>
    <r>
      <rPr>
        <b/>
        <vertAlign val="superscript"/>
        <sz val="11"/>
        <color theme="1"/>
        <rFont val="Palatino Linotype"/>
        <family val="1"/>
      </rPr>
      <t>2</t>
    </r>
  </si>
  <si>
    <t>2001-2021</t>
  </si>
  <si>
    <t>21 år</t>
  </si>
  <si>
    <r>
      <rPr>
        <vertAlign val="superscript"/>
        <sz val="10"/>
        <color theme="1"/>
        <rFont val="Palatino Linotype"/>
        <family val="1"/>
      </rPr>
      <t xml:space="preserve">2 </t>
    </r>
    <r>
      <rPr>
        <sz val="10"/>
        <color theme="1"/>
        <rFont val="Palatino Linotype"/>
        <family val="1"/>
      </rPr>
      <t>Felles gruppekvote for trålgruppen i perioden 1996-2000, egne gruppekvoter fra 2001</t>
    </r>
  </si>
  <si>
    <t>Kvoter sei Nordsjøen og Skagerak i perioden 1996 til 2021</t>
  </si>
  <si>
    <r>
      <t xml:space="preserve"> </t>
    </r>
    <r>
      <rPr>
        <i/>
        <sz val="9"/>
        <color theme="1"/>
        <rFont val="Palatino Linotype"/>
        <family val="1"/>
      </rPr>
      <t>Totalkvoter pr. 16. mai 2021</t>
    </r>
  </si>
  <si>
    <t xml:space="preserve"> Totalkvoter pr. 16. mai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</si>
</sst>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\ %"/>
    <numFmt numFmtId="165" formatCode="0.00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sz val="11"/>
      <name val="Palatino Linotype"/>
      <family val="1"/>
    </font>
    <font>
      <b/>
      <i/>
      <sz val="11"/>
      <color theme="1"/>
      <name val="Palatino Linotype"/>
      <family val="1"/>
    </font>
    <font>
      <b/>
      <sz val="12"/>
      <color theme="1"/>
      <name val="Palatino Linotype"/>
      <family val="1"/>
    </font>
    <font>
      <b/>
      <vertAlign val="superscript"/>
      <sz val="11"/>
      <color theme="1"/>
      <name val="Palatino Linotype"/>
      <family val="1"/>
    </font>
    <font>
      <vertAlign val="superscript"/>
      <sz val="9"/>
      <color theme="1"/>
      <name val="Calibri"/>
      <family val="2"/>
      <scheme val="minor"/>
    </font>
    <font>
      <sz val="10"/>
      <color theme="1"/>
      <name val="Palatino Linotype"/>
      <family val="1"/>
    </font>
    <font>
      <vertAlign val="superscript"/>
      <sz val="10"/>
      <color theme="1"/>
      <name val="Palatino Linotype"/>
      <family val="1"/>
    </font>
    <font>
      <b/>
      <sz val="15"/>
      <color theme="1"/>
      <name val="Palatino Linotype"/>
      <family val="1"/>
    </font>
    <font>
      <b/>
      <sz val="12"/>
      <color theme="1"/>
      <name val="IBM Plex Sans Light"/>
      <family val="2"/>
    </font>
    <font>
      <sz val="12"/>
      <color theme="1"/>
      <name val="IBM Plex Sans Light"/>
      <family val="2"/>
    </font>
    <font>
      <sz val="11"/>
      <color rgb="FFC00000"/>
      <name val="Palatino Linotype"/>
      <family val="1"/>
    </font>
    <font>
      <b/>
      <i/>
      <sz val="13"/>
      <color theme="1"/>
      <name val="Palatino Linotype"/>
      <family val="1"/>
    </font>
    <font>
      <vertAlign val="superscript"/>
      <sz val="10"/>
      <name val="Palatino Linotype"/>
      <family val="1"/>
    </font>
    <font>
      <sz val="10"/>
      <name val="Palatino Linotype"/>
      <family val="1"/>
    </font>
    <font>
      <sz val="1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  <font>
      <i/>
      <vertAlign val="superscript"/>
      <sz val="9"/>
      <color theme="1"/>
      <name val="Palatino Linotype"/>
      <family val="1"/>
    </font>
    <font>
      <i/>
      <sz val="9"/>
      <color theme="1"/>
      <name val="Palatino Linotype"/>
      <family val="1"/>
    </font>
    <font>
      <i/>
      <sz val="11"/>
      <color theme="1"/>
      <name val="Palatino Linotype"/>
      <family val="1"/>
    </font>
    <font>
      <i/>
      <sz val="10"/>
      <color theme="1"/>
      <name val="Palatino Linotype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0" xfId="0" applyFont="1"/>
    <xf numFmtId="3" fontId="3" fillId="0" borderId="0" xfId="0" applyNumberFormat="1" applyFont="1" applyBorder="1"/>
    <xf numFmtId="0" fontId="3" fillId="0" borderId="0" xfId="0" applyFont="1" applyBorder="1"/>
    <xf numFmtId="3" fontId="4" fillId="0" borderId="0" xfId="0" applyNumberFormat="1" applyFont="1" applyBorder="1"/>
    <xf numFmtId="3" fontId="3" fillId="0" borderId="2" xfId="0" applyNumberFormat="1" applyFont="1" applyBorder="1"/>
    <xf numFmtId="10" fontId="3" fillId="0" borderId="2" xfId="1" applyNumberFormat="1" applyFont="1" applyBorder="1"/>
    <xf numFmtId="3" fontId="3" fillId="0" borderId="2" xfId="0" applyNumberFormat="1" applyFont="1" applyFill="1" applyBorder="1"/>
    <xf numFmtId="0" fontId="3" fillId="0" borderId="2" xfId="0" applyFont="1" applyBorder="1"/>
    <xf numFmtId="3" fontId="4" fillId="0" borderId="2" xfId="0" applyNumberFormat="1" applyFont="1" applyBorder="1"/>
    <xf numFmtId="10" fontId="4" fillId="0" borderId="2" xfId="1" applyNumberFormat="1" applyFont="1" applyBorder="1"/>
    <xf numFmtId="0" fontId="3" fillId="0" borderId="0" xfId="0" applyFont="1" applyAlignment="1">
      <alignment wrapText="1"/>
    </xf>
    <xf numFmtId="164" fontId="5" fillId="0" borderId="2" xfId="1" applyNumberFormat="1" applyFont="1" applyBorder="1"/>
    <xf numFmtId="0" fontId="3" fillId="2" borderId="2" xfId="0" applyFont="1" applyFill="1" applyBorder="1"/>
    <xf numFmtId="0" fontId="2" fillId="0" borderId="4" xfId="0" applyFont="1" applyBorder="1"/>
    <xf numFmtId="0" fontId="3" fillId="0" borderId="4" xfId="0" applyFont="1" applyBorder="1"/>
    <xf numFmtId="0" fontId="3" fillId="0" borderId="5" xfId="0" applyFont="1" applyBorder="1"/>
    <xf numFmtId="0" fontId="2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10" fontId="4" fillId="0" borderId="0" xfId="1" applyNumberFormat="1" applyFont="1" applyBorder="1"/>
    <xf numFmtId="0" fontId="6" fillId="2" borderId="6" xfId="0" applyFont="1" applyFill="1" applyBorder="1"/>
    <xf numFmtId="10" fontId="3" fillId="0" borderId="0" xfId="0" applyNumberFormat="1" applyFont="1" applyBorder="1"/>
    <xf numFmtId="0" fontId="5" fillId="0" borderId="6" xfId="0" applyFont="1" applyBorder="1"/>
    <xf numFmtId="0" fontId="5" fillId="0" borderId="9" xfId="0" applyFont="1" applyBorder="1" applyAlignment="1">
      <alignment horizontal="center"/>
    </xf>
    <xf numFmtId="0" fontId="5" fillId="0" borderId="10" xfId="0" applyFont="1" applyBorder="1"/>
    <xf numFmtId="3" fontId="3" fillId="0" borderId="11" xfId="0" applyNumberFormat="1" applyFont="1" applyBorder="1"/>
    <xf numFmtId="164" fontId="5" fillId="0" borderId="11" xfId="1" applyNumberFormat="1" applyFont="1" applyBorder="1"/>
    <xf numFmtId="0" fontId="5" fillId="0" borderId="12" xfId="0" applyFont="1" applyBorder="1" applyAlignment="1">
      <alignment horizontal="center"/>
    </xf>
    <xf numFmtId="0" fontId="3" fillId="2" borderId="1" xfId="0" applyFont="1" applyFill="1" applyBorder="1"/>
    <xf numFmtId="0" fontId="0" fillId="0" borderId="5" xfId="0" applyBorder="1"/>
    <xf numFmtId="0" fontId="0" fillId="0" borderId="0" xfId="0" applyBorder="1"/>
    <xf numFmtId="0" fontId="0" fillId="0" borderId="7" xfId="0" applyBorder="1"/>
    <xf numFmtId="10" fontId="0" fillId="0" borderId="7" xfId="0" applyNumberFormat="1" applyBorder="1"/>
    <xf numFmtId="0" fontId="9" fillId="0" borderId="8" xfId="0" applyFont="1" applyBorder="1"/>
    <xf numFmtId="0" fontId="8" fillId="0" borderId="0" xfId="0" applyFont="1" applyBorder="1"/>
    <xf numFmtId="0" fontId="3" fillId="0" borderId="6" xfId="0" applyFont="1" applyFill="1" applyBorder="1" applyAlignment="1">
      <alignment horizontal="center"/>
    </xf>
    <xf numFmtId="3" fontId="4" fillId="0" borderId="2" xfId="0" applyNumberFormat="1" applyFont="1" applyFill="1" applyBorder="1"/>
    <xf numFmtId="0" fontId="11" fillId="0" borderId="3" xfId="0" applyFont="1" applyBorder="1"/>
    <xf numFmtId="0" fontId="13" fillId="0" borderId="2" xfId="0" applyFont="1" applyBorder="1" applyAlignment="1">
      <alignment horizontal="center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10" fontId="0" fillId="0" borderId="0" xfId="0" applyNumberFormat="1"/>
    <xf numFmtId="3" fontId="14" fillId="0" borderId="2" xfId="0" applyNumberFormat="1" applyFont="1" applyBorder="1"/>
    <xf numFmtId="10" fontId="14" fillId="0" borderId="2" xfId="1" applyNumberFormat="1" applyFont="1" applyBorder="1"/>
    <xf numFmtId="165" fontId="3" fillId="0" borderId="2" xfId="0" applyNumberFormat="1" applyFont="1" applyBorder="1"/>
    <xf numFmtId="0" fontId="2" fillId="0" borderId="2" xfId="0" applyFont="1" applyBorder="1"/>
    <xf numFmtId="165" fontId="2" fillId="0" borderId="2" xfId="0" applyNumberFormat="1" applyFont="1" applyBorder="1"/>
    <xf numFmtId="0" fontId="2" fillId="0" borderId="0" xfId="0" applyFont="1"/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10" fontId="13" fillId="0" borderId="9" xfId="0" applyNumberFormat="1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10" fontId="13" fillId="0" borderId="11" xfId="0" applyNumberFormat="1" applyFont="1" applyBorder="1" applyAlignment="1">
      <alignment horizontal="center" vertical="center" wrapText="1"/>
    </xf>
    <xf numFmtId="10" fontId="13" fillId="0" borderId="12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2" fillId="2" borderId="9" xfId="0" applyFont="1" applyFill="1" applyBorder="1" applyAlignment="1">
      <alignment horizontal="center" vertical="center" wrapText="1"/>
    </xf>
    <xf numFmtId="3" fontId="3" fillId="0" borderId="6" xfId="0" applyNumberFormat="1" applyFont="1" applyFill="1" applyBorder="1"/>
    <xf numFmtId="10" fontId="3" fillId="0" borderId="9" xfId="1" applyNumberFormat="1" applyFont="1" applyBorder="1" applyAlignment="1">
      <alignment horizontal="center"/>
    </xf>
    <xf numFmtId="10" fontId="2" fillId="0" borderId="9" xfId="0" applyNumberFormat="1" applyFont="1" applyBorder="1" applyAlignment="1">
      <alignment horizontal="center"/>
    </xf>
    <xf numFmtId="9" fontId="3" fillId="0" borderId="0" xfId="1" applyFont="1" applyBorder="1"/>
    <xf numFmtId="0" fontId="10" fillId="0" borderId="8" xfId="0" applyFont="1" applyBorder="1" applyAlignment="1">
      <alignment horizontal="left"/>
    </xf>
    <xf numFmtId="0" fontId="9" fillId="0" borderId="8" xfId="0" applyFont="1" applyBorder="1" applyAlignment="1">
      <alignment horizontal="left"/>
    </xf>
    <xf numFmtId="0" fontId="3" fillId="0" borderId="20" xfId="0" applyFont="1" applyBorder="1"/>
    <xf numFmtId="0" fontId="3" fillId="0" borderId="21" xfId="0" applyFont="1" applyBorder="1"/>
    <xf numFmtId="0" fontId="12" fillId="3" borderId="6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>
      <alignment horizontal="center" vertical="center" wrapText="1"/>
    </xf>
    <xf numFmtId="10" fontId="12" fillId="3" borderId="2" xfId="0" applyNumberFormat="1" applyFont="1" applyFill="1" applyBorder="1" applyAlignment="1">
      <alignment horizontal="center" vertical="center" wrapText="1"/>
    </xf>
    <xf numFmtId="10" fontId="12" fillId="3" borderId="9" xfId="0" applyNumberFormat="1" applyFont="1" applyFill="1" applyBorder="1" applyAlignment="1">
      <alignment horizontal="center" vertical="center" wrapText="1"/>
    </xf>
    <xf numFmtId="0" fontId="16" fillId="0" borderId="8" xfId="0" applyFont="1" applyBorder="1" applyAlignment="1">
      <alignment horizontal="left"/>
    </xf>
    <xf numFmtId="0" fontId="0" fillId="0" borderId="4" xfId="0" applyBorder="1"/>
    <xf numFmtId="0" fontId="0" fillId="0" borderId="20" xfId="0" applyBorder="1"/>
    <xf numFmtId="0" fontId="0" fillId="0" borderId="21" xfId="0" applyBorder="1"/>
    <xf numFmtId="0" fontId="4" fillId="0" borderId="6" xfId="0" applyFont="1" applyBorder="1" applyAlignment="1">
      <alignment horizontal="center"/>
    </xf>
    <xf numFmtId="0" fontId="18" fillId="0" borderId="7" xfId="0" applyFont="1" applyBorder="1"/>
    <xf numFmtId="0" fontId="18" fillId="0" borderId="0" xfId="0" applyFont="1"/>
    <xf numFmtId="10" fontId="18" fillId="0" borderId="7" xfId="0" applyNumberFormat="1" applyFont="1" applyBorder="1"/>
    <xf numFmtId="0" fontId="9" fillId="0" borderId="0" xfId="0" applyFont="1" applyBorder="1"/>
    <xf numFmtId="0" fontId="19" fillId="0" borderId="0" xfId="0" applyFont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2" fillId="0" borderId="8" xfId="0" applyFont="1" applyBorder="1"/>
    <xf numFmtId="0" fontId="21" fillId="0" borderId="19" xfId="0" applyFont="1" applyBorder="1"/>
    <xf numFmtId="0" fontId="23" fillId="0" borderId="19" xfId="0" applyFont="1" applyBorder="1"/>
    <xf numFmtId="0" fontId="20" fillId="0" borderId="8" xfId="0" applyFont="1" applyBorder="1" applyAlignment="1">
      <alignment horizontal="left"/>
    </xf>
    <xf numFmtId="0" fontId="23" fillId="0" borderId="8" xfId="0" applyFont="1" applyBorder="1"/>
    <xf numFmtId="0" fontId="15" fillId="0" borderId="20" xfId="0" applyFont="1" applyFill="1" applyBorder="1" applyAlignment="1">
      <alignment horizontal="center"/>
    </xf>
    <xf numFmtId="0" fontId="15" fillId="0" borderId="4" xfId="0" applyFont="1" applyFill="1" applyBorder="1" applyAlignment="1">
      <alignment horizontal="right"/>
    </xf>
    <xf numFmtId="10" fontId="3" fillId="0" borderId="9" xfId="1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/>
    </xf>
    <xf numFmtId="0" fontId="15" fillId="0" borderId="5" xfId="0" applyFont="1" applyFill="1" applyBorder="1" applyAlignment="1">
      <alignment horizontal="center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tabSelected="1" zoomScaleNormal="100" workbookViewId="0">
      <pane ySplit="2" topLeftCell="A3" activePane="bottomLeft" state="frozen"/>
      <selection pane="bottomLeft" activeCell="E35" sqref="E35"/>
    </sheetView>
  </sheetViews>
  <sheetFormatPr baseColWidth="10" defaultColWidth="11.453125" defaultRowHeight="15.5" x14ac:dyDescent="0.4"/>
  <cols>
    <col min="1" max="1" width="11.54296875" style="1" customWidth="1"/>
    <col min="2" max="2" width="11.7265625" style="1" customWidth="1"/>
    <col min="3" max="3" width="13.453125" style="1" customWidth="1"/>
    <col min="4" max="4" width="10.54296875" style="1" customWidth="1"/>
    <col min="5" max="5" width="11.26953125" style="1" customWidth="1"/>
    <col min="6" max="6" width="12.26953125" style="1" customWidth="1"/>
    <col min="7" max="7" width="8.453125" style="1" customWidth="1"/>
    <col min="8" max="8" width="12.1796875" style="1" customWidth="1"/>
    <col min="9" max="9" width="7" style="1" customWidth="1"/>
    <col min="10" max="10" width="0.7265625" style="1" customWidth="1"/>
    <col min="11" max="11" width="14.81640625" style="1" customWidth="1"/>
    <col min="12" max="12" width="8.26953125" style="1" customWidth="1"/>
    <col min="13" max="13" width="13.54296875" style="1" customWidth="1"/>
    <col min="14" max="14" width="12" style="1" customWidth="1"/>
    <col min="15" max="15" width="32.81640625" style="1" customWidth="1"/>
    <col min="16" max="16384" width="11.453125" style="1"/>
  </cols>
  <sheetData>
    <row r="1" spans="1:14" ht="22.5" thickBot="1" x14ac:dyDescent="0.65">
      <c r="A1" s="38" t="s">
        <v>15</v>
      </c>
      <c r="B1" s="14"/>
      <c r="C1" s="14"/>
      <c r="D1" s="14"/>
      <c r="E1" s="15"/>
      <c r="F1" s="15"/>
      <c r="G1" s="15"/>
      <c r="H1" s="15"/>
      <c r="I1" s="16"/>
      <c r="M1" s="88" t="s">
        <v>60</v>
      </c>
      <c r="N1" s="88"/>
    </row>
    <row r="2" spans="1:14" s="11" customFormat="1" ht="67.5" customHeight="1" x14ac:dyDescent="0.4">
      <c r="A2" s="81" t="s">
        <v>0</v>
      </c>
      <c r="B2" s="82" t="s">
        <v>1</v>
      </c>
      <c r="C2" s="82" t="s">
        <v>12</v>
      </c>
      <c r="D2" s="82" t="s">
        <v>32</v>
      </c>
      <c r="E2" s="82" t="s">
        <v>23</v>
      </c>
      <c r="F2" s="82" t="s">
        <v>13</v>
      </c>
      <c r="G2" s="82" t="s">
        <v>33</v>
      </c>
      <c r="H2" s="82" t="s">
        <v>14</v>
      </c>
      <c r="I2" s="17"/>
      <c r="K2" s="48" t="s">
        <v>51</v>
      </c>
      <c r="L2" s="49" t="s">
        <v>34</v>
      </c>
      <c r="M2" s="49" t="s">
        <v>52</v>
      </c>
      <c r="N2" s="50" t="s">
        <v>53</v>
      </c>
    </row>
    <row r="3" spans="1:14" ht="17" x14ac:dyDescent="0.4">
      <c r="A3" s="18">
        <v>1996</v>
      </c>
      <c r="B3" s="5">
        <v>334000</v>
      </c>
      <c r="C3" s="5">
        <f>B3</f>
        <v>334000</v>
      </c>
      <c r="D3" s="5">
        <v>110220</v>
      </c>
      <c r="E3" s="5">
        <f>D3-G3</f>
        <v>108720</v>
      </c>
      <c r="F3" s="6">
        <f>E3/D3</f>
        <v>0.98639085465432774</v>
      </c>
      <c r="G3" s="5">
        <v>1500</v>
      </c>
      <c r="H3" s="6">
        <f>G3/D3</f>
        <v>1.3609145345672292E-2</v>
      </c>
      <c r="I3" s="19"/>
      <c r="K3" s="51" t="s">
        <v>6</v>
      </c>
      <c r="L3" s="39" t="s">
        <v>3</v>
      </c>
      <c r="M3" s="40">
        <v>0.99390000000000001</v>
      </c>
      <c r="N3" s="52">
        <v>6.1000000000000004E-3</v>
      </c>
    </row>
    <row r="4" spans="1:14" ht="17" x14ac:dyDescent="0.4">
      <c r="A4" s="18">
        <v>1997</v>
      </c>
      <c r="B4" s="5">
        <v>399000</v>
      </c>
      <c r="C4" s="5">
        <f>B4</f>
        <v>399000</v>
      </c>
      <c r="D4" s="5">
        <v>131670</v>
      </c>
      <c r="E4" s="5">
        <f>D4-G4</f>
        <v>130170</v>
      </c>
      <c r="F4" s="6">
        <f t="shared" ref="F4:F28" si="0">E4/D4</f>
        <v>0.98860788334472549</v>
      </c>
      <c r="G4" s="5">
        <v>1500</v>
      </c>
      <c r="H4" s="6">
        <f t="shared" ref="H4:H5" si="1">G4/D4</f>
        <v>1.1392116655274551E-2</v>
      </c>
      <c r="I4" s="19"/>
      <c r="K4" s="51" t="s">
        <v>7</v>
      </c>
      <c r="L4" s="39" t="s">
        <v>4</v>
      </c>
      <c r="M4" s="40">
        <v>0.99390000000000001</v>
      </c>
      <c r="N4" s="52">
        <v>6.1000000000000004E-3</v>
      </c>
    </row>
    <row r="5" spans="1:14" ht="17" x14ac:dyDescent="0.4">
      <c r="A5" s="18">
        <v>1998</v>
      </c>
      <c r="B5" s="5">
        <v>313000</v>
      </c>
      <c r="C5" s="5">
        <f>B5</f>
        <v>313000</v>
      </c>
      <c r="D5" s="5">
        <v>101975</v>
      </c>
      <c r="E5" s="5">
        <v>100475</v>
      </c>
      <c r="F5" s="6">
        <f t="shared" si="0"/>
        <v>0.98529051238048537</v>
      </c>
      <c r="G5" s="5">
        <v>1500</v>
      </c>
      <c r="H5" s="6">
        <f t="shared" si="1"/>
        <v>1.4709487619514587E-2</v>
      </c>
      <c r="I5" s="19"/>
      <c r="K5" s="67" t="s">
        <v>8</v>
      </c>
      <c r="L5" s="68" t="s">
        <v>5</v>
      </c>
      <c r="M5" s="69">
        <v>0.99380000000000002</v>
      </c>
      <c r="N5" s="70">
        <v>6.1999999999999998E-3</v>
      </c>
    </row>
    <row r="6" spans="1:14" ht="17.5" thickBot="1" x14ac:dyDescent="0.45">
      <c r="A6" s="18">
        <v>1999</v>
      </c>
      <c r="B6" s="5">
        <v>236500</v>
      </c>
      <c r="C6" s="5">
        <f>B6</f>
        <v>236500</v>
      </c>
      <c r="D6" s="5">
        <f t="shared" ref="D6:D11" si="2">E6+G6</f>
        <v>72510</v>
      </c>
      <c r="E6" s="5">
        <v>71010</v>
      </c>
      <c r="F6" s="6">
        <f t="shared" si="0"/>
        <v>0.97931319817956142</v>
      </c>
      <c r="G6" s="5">
        <v>1500</v>
      </c>
      <c r="H6" s="6">
        <f>G6/E6</f>
        <v>2.1123785382340516E-2</v>
      </c>
      <c r="I6" s="19"/>
      <c r="K6" s="53" t="s">
        <v>10</v>
      </c>
      <c r="L6" s="54" t="s">
        <v>11</v>
      </c>
      <c r="M6" s="55">
        <v>0.99370000000000003</v>
      </c>
      <c r="N6" s="56">
        <v>6.3E-3</v>
      </c>
    </row>
    <row r="7" spans="1:14" x14ac:dyDescent="0.4">
      <c r="A7" s="18">
        <v>2000</v>
      </c>
      <c r="B7" s="5">
        <v>193400</v>
      </c>
      <c r="C7" s="5">
        <f>B7</f>
        <v>193400</v>
      </c>
      <c r="D7" s="5">
        <f>57250</f>
        <v>57250</v>
      </c>
      <c r="E7" s="5">
        <f>D7-G7</f>
        <v>56500</v>
      </c>
      <c r="F7" s="6">
        <f t="shared" si="0"/>
        <v>0.98689956331877726</v>
      </c>
      <c r="G7" s="5">
        <v>750</v>
      </c>
      <c r="H7" s="6">
        <f t="shared" ref="H7:H11" si="3">G7/E7</f>
        <v>1.3274336283185841E-2</v>
      </c>
      <c r="I7" s="19"/>
    </row>
    <row r="8" spans="1:14" x14ac:dyDescent="0.4">
      <c r="A8" s="18">
        <v>2001</v>
      </c>
      <c r="B8" s="5">
        <v>195550</v>
      </c>
      <c r="C8" s="5">
        <f>B8-215</f>
        <v>195335</v>
      </c>
      <c r="D8" s="5">
        <v>57878</v>
      </c>
      <c r="E8" s="5">
        <v>57128</v>
      </c>
      <c r="F8" s="6">
        <f t="shared" si="0"/>
        <v>0.98704170842116179</v>
      </c>
      <c r="G8" s="5">
        <v>750</v>
      </c>
      <c r="H8" s="6">
        <f t="shared" si="3"/>
        <v>1.3128413387480746E-2</v>
      </c>
      <c r="I8" s="19"/>
    </row>
    <row r="9" spans="1:14" x14ac:dyDescent="0.4">
      <c r="A9" s="18">
        <v>2002</v>
      </c>
      <c r="B9" s="5">
        <v>195550</v>
      </c>
      <c r="C9" s="5">
        <f>B9-215</f>
        <v>195335</v>
      </c>
      <c r="D9" s="5">
        <v>57878</v>
      </c>
      <c r="E9" s="5">
        <v>57128</v>
      </c>
      <c r="F9" s="6">
        <f t="shared" si="0"/>
        <v>0.98704170842116179</v>
      </c>
      <c r="G9" s="5">
        <v>750</v>
      </c>
      <c r="H9" s="6">
        <f t="shared" si="3"/>
        <v>1.3128413387480746E-2</v>
      </c>
      <c r="I9" s="19"/>
    </row>
    <row r="10" spans="1:14" x14ac:dyDescent="0.4">
      <c r="A10" s="18">
        <v>2003</v>
      </c>
      <c r="B10" s="5">
        <v>195550</v>
      </c>
      <c r="C10" s="5">
        <f>B10-115</f>
        <v>195435</v>
      </c>
      <c r="D10" s="5">
        <v>57919</v>
      </c>
      <c r="E10" s="5">
        <f>D10-G10</f>
        <v>57169</v>
      </c>
      <c r="F10" s="6">
        <f t="shared" si="0"/>
        <v>0.98705088140333919</v>
      </c>
      <c r="G10" s="5">
        <v>750</v>
      </c>
      <c r="H10" s="6">
        <f t="shared" si="3"/>
        <v>1.3118998058388287E-2</v>
      </c>
      <c r="I10" s="19"/>
    </row>
    <row r="11" spans="1:14" x14ac:dyDescent="0.4">
      <c r="A11" s="18">
        <v>2004</v>
      </c>
      <c r="B11" s="7">
        <v>224600</v>
      </c>
      <c r="C11" s="7">
        <v>217600</v>
      </c>
      <c r="D11" s="5">
        <f t="shared" si="2"/>
        <v>65693</v>
      </c>
      <c r="E11" s="5">
        <v>64943</v>
      </c>
      <c r="F11" s="6">
        <f t="shared" si="0"/>
        <v>0.98858325849025008</v>
      </c>
      <c r="G11" s="8">
        <v>750</v>
      </c>
      <c r="H11" s="6">
        <f t="shared" si="3"/>
        <v>1.1548588762453228E-2</v>
      </c>
      <c r="I11" s="19"/>
    </row>
    <row r="12" spans="1:14" x14ac:dyDescent="0.4">
      <c r="A12" s="18">
        <v>2005</v>
      </c>
      <c r="B12" s="5">
        <v>218700</v>
      </c>
      <c r="C12" s="5">
        <v>218700</v>
      </c>
      <c r="D12" s="5">
        <f>E12+G12</f>
        <v>66091</v>
      </c>
      <c r="E12" s="5">
        <v>65341</v>
      </c>
      <c r="F12" s="6">
        <f t="shared" si="0"/>
        <v>0.98865201010727632</v>
      </c>
      <c r="G12" s="8">
        <v>750</v>
      </c>
      <c r="H12" s="6">
        <f>G12/D12</f>
        <v>1.1347989892723669E-2</v>
      </c>
      <c r="I12" s="19"/>
    </row>
    <row r="13" spans="1:14" x14ac:dyDescent="0.4">
      <c r="A13" s="18">
        <v>2006</v>
      </c>
      <c r="B13" s="5">
        <v>212700</v>
      </c>
      <c r="C13" s="5">
        <v>212700</v>
      </c>
      <c r="D13" s="5">
        <f t="shared" ref="D13:D25" si="4">E13+G13</f>
        <v>63959</v>
      </c>
      <c r="E13" s="5">
        <v>63209</v>
      </c>
      <c r="F13" s="6">
        <f t="shared" si="0"/>
        <v>0.98827373786331874</v>
      </c>
      <c r="G13" s="8">
        <v>750</v>
      </c>
      <c r="H13" s="6">
        <f t="shared" ref="H13:H24" si="5">G13/D13</f>
        <v>1.1726262136681312E-2</v>
      </c>
      <c r="I13" s="19"/>
    </row>
    <row r="14" spans="1:14" x14ac:dyDescent="0.4">
      <c r="A14" s="18">
        <v>2007</v>
      </c>
      <c r="B14" s="5">
        <f>192500+7000</f>
        <v>199500</v>
      </c>
      <c r="C14" s="5">
        <f>192500</f>
        <v>192500</v>
      </c>
      <c r="D14" s="5">
        <f t="shared" si="4"/>
        <v>56903</v>
      </c>
      <c r="E14" s="5">
        <v>56153</v>
      </c>
      <c r="F14" s="6">
        <f t="shared" si="0"/>
        <v>0.98681967558828176</v>
      </c>
      <c r="G14" s="8">
        <v>750</v>
      </c>
      <c r="H14" s="6">
        <f t="shared" si="5"/>
        <v>1.3180324411718188E-2</v>
      </c>
      <c r="I14" s="19"/>
    </row>
    <row r="15" spans="1:14" x14ac:dyDescent="0.4">
      <c r="A15" s="18">
        <v>2008</v>
      </c>
      <c r="B15" s="5">
        <f>195413+7000</f>
        <v>202413</v>
      </c>
      <c r="C15" s="5">
        <f>195413-200</f>
        <v>195213</v>
      </c>
      <c r="D15" s="5">
        <f t="shared" si="4"/>
        <v>57842</v>
      </c>
      <c r="E15" s="5">
        <v>57092</v>
      </c>
      <c r="F15" s="6">
        <f t="shared" si="0"/>
        <v>0.98703364337332733</v>
      </c>
      <c r="G15" s="8">
        <v>750</v>
      </c>
      <c r="H15" s="6">
        <f t="shared" si="5"/>
        <v>1.296635662667266E-2</v>
      </c>
      <c r="I15" s="19"/>
    </row>
    <row r="16" spans="1:14" x14ac:dyDescent="0.4">
      <c r="A16" s="18">
        <v>2009</v>
      </c>
      <c r="B16" s="5">
        <f>237100+7000</f>
        <v>244100</v>
      </c>
      <c r="C16" s="5">
        <f>237100-300-3500</f>
        <v>233300</v>
      </c>
      <c r="D16" s="5">
        <f t="shared" si="4"/>
        <v>71343</v>
      </c>
      <c r="E16" s="5">
        <v>70593</v>
      </c>
      <c r="F16" s="6">
        <f t="shared" si="0"/>
        <v>0.9894874059122829</v>
      </c>
      <c r="G16" s="8">
        <v>750</v>
      </c>
      <c r="H16" s="6">
        <f>G16/D16</f>
        <v>1.0512594087717085E-2</v>
      </c>
      <c r="I16" s="19"/>
    </row>
    <row r="17" spans="1:9" x14ac:dyDescent="0.4">
      <c r="A17" s="18">
        <v>2010</v>
      </c>
      <c r="B17" s="5">
        <f>261045+7000+10000</f>
        <v>278045</v>
      </c>
      <c r="C17" s="5">
        <f>216045-300</f>
        <v>215745</v>
      </c>
      <c r="D17" s="5">
        <f t="shared" si="4"/>
        <v>81535</v>
      </c>
      <c r="E17" s="5">
        <v>80785</v>
      </c>
      <c r="F17" s="6">
        <f t="shared" si="0"/>
        <v>0.99080149628993686</v>
      </c>
      <c r="G17" s="8">
        <v>750</v>
      </c>
      <c r="H17" s="6">
        <f t="shared" si="5"/>
        <v>9.198503710063163E-3</v>
      </c>
      <c r="I17" s="19"/>
    </row>
    <row r="18" spans="1:9" x14ac:dyDescent="0.4">
      <c r="A18" s="18">
        <v>2011</v>
      </c>
      <c r="B18" s="5">
        <f>337357+7000+7000+3000</f>
        <v>354357</v>
      </c>
      <c r="C18" s="5">
        <f>337357-300</f>
        <v>337057</v>
      </c>
      <c r="D18" s="5">
        <f t="shared" si="4"/>
        <v>111229</v>
      </c>
      <c r="E18" s="5">
        <v>110479</v>
      </c>
      <c r="F18" s="6">
        <f t="shared" si="0"/>
        <v>0.99325715415943683</v>
      </c>
      <c r="G18" s="8">
        <v>750</v>
      </c>
      <c r="H18" s="6">
        <f t="shared" si="5"/>
        <v>6.7428458405631624E-3</v>
      </c>
      <c r="I18" s="19"/>
    </row>
    <row r="19" spans="1:9" x14ac:dyDescent="0.4">
      <c r="A19" s="18">
        <v>2012</v>
      </c>
      <c r="B19" s="5">
        <f>340196+7000+7000+3000</f>
        <v>357196</v>
      </c>
      <c r="C19" s="5">
        <f>340196-300</f>
        <v>339896</v>
      </c>
      <c r="D19" s="5">
        <f t="shared" si="4"/>
        <v>112166</v>
      </c>
      <c r="E19" s="5">
        <v>111416</v>
      </c>
      <c r="F19" s="6">
        <f t="shared" si="0"/>
        <v>0.99331348180375512</v>
      </c>
      <c r="G19" s="8">
        <v>750</v>
      </c>
      <c r="H19" s="6">
        <f t="shared" si="5"/>
        <v>6.6865181962448518E-3</v>
      </c>
      <c r="I19" s="19"/>
    </row>
    <row r="20" spans="1:9" x14ac:dyDescent="0.4">
      <c r="A20" s="18">
        <v>2013</v>
      </c>
      <c r="B20" s="5">
        <f>454750+7000+7000+3000+600</f>
        <v>472350</v>
      </c>
      <c r="C20" s="5">
        <f>454740-1000</f>
        <v>453740</v>
      </c>
      <c r="D20" s="5">
        <f t="shared" si="4"/>
        <v>148348</v>
      </c>
      <c r="E20" s="5">
        <v>147598</v>
      </c>
      <c r="F20" s="6">
        <f t="shared" si="0"/>
        <v>0.99494432011216871</v>
      </c>
      <c r="G20" s="5">
        <v>750</v>
      </c>
      <c r="H20" s="6">
        <f t="shared" si="5"/>
        <v>5.0556798878313158E-3</v>
      </c>
      <c r="I20" s="19"/>
    </row>
    <row r="21" spans="1:9" x14ac:dyDescent="0.4">
      <c r="A21" s="18">
        <v>2014</v>
      </c>
      <c r="B21" s="5">
        <v>466439</v>
      </c>
      <c r="C21" s="5">
        <f>B21-513-7000-3000-4000-200</f>
        <v>451726</v>
      </c>
      <c r="D21" s="5">
        <f t="shared" si="4"/>
        <v>146527</v>
      </c>
      <c r="E21" s="5">
        <v>145777</v>
      </c>
      <c r="F21" s="6">
        <f t="shared" si="0"/>
        <v>0.99488148941833243</v>
      </c>
      <c r="G21" s="5">
        <v>750</v>
      </c>
      <c r="H21" s="6">
        <f t="shared" si="5"/>
        <v>5.1185105816675429E-3</v>
      </c>
      <c r="I21" s="19"/>
    </row>
    <row r="22" spans="1:9" x14ac:dyDescent="0.4">
      <c r="A22" s="18">
        <v>2015</v>
      </c>
      <c r="B22" s="5">
        <v>414920</v>
      </c>
      <c r="C22" s="5">
        <f>B22-749-7000-3680-3000-4000-500</f>
        <v>395991</v>
      </c>
      <c r="D22" s="5">
        <f t="shared" si="4"/>
        <v>130677</v>
      </c>
      <c r="E22" s="5">
        <v>129927</v>
      </c>
      <c r="F22" s="6">
        <f t="shared" si="0"/>
        <v>0.99426065795817165</v>
      </c>
      <c r="G22" s="5">
        <v>750</v>
      </c>
      <c r="H22" s="6">
        <f t="shared" si="5"/>
        <v>5.7393420418283252E-3</v>
      </c>
      <c r="I22" s="19"/>
    </row>
    <row r="23" spans="1:9" x14ac:dyDescent="0.4">
      <c r="A23" s="18">
        <v>2016</v>
      </c>
      <c r="B23" s="5">
        <v>417518</v>
      </c>
      <c r="C23" s="5">
        <f>B23-707-7000-3000-4000</f>
        <v>402811</v>
      </c>
      <c r="D23" s="5">
        <f t="shared" si="4"/>
        <v>132928</v>
      </c>
      <c r="E23" s="5">
        <v>132178</v>
      </c>
      <c r="F23" s="6">
        <f t="shared" si="0"/>
        <v>0.99435784785748671</v>
      </c>
      <c r="G23" s="5">
        <v>750</v>
      </c>
      <c r="H23" s="6">
        <f t="shared" si="5"/>
        <v>5.64215214251324E-3</v>
      </c>
      <c r="I23" s="19"/>
    </row>
    <row r="24" spans="1:9" x14ac:dyDescent="0.4">
      <c r="A24" s="18">
        <v>2017</v>
      </c>
      <c r="B24" s="5">
        <v>412011</v>
      </c>
      <c r="C24" s="5">
        <f>B24-687-7000-3000-4000-4020</f>
        <v>393304</v>
      </c>
      <c r="D24" s="5">
        <f t="shared" si="4"/>
        <v>129790</v>
      </c>
      <c r="E24" s="5">
        <v>129040</v>
      </c>
      <c r="F24" s="6">
        <f t="shared" si="0"/>
        <v>0.99422143462516377</v>
      </c>
      <c r="G24" s="5">
        <v>750</v>
      </c>
      <c r="H24" s="6">
        <f t="shared" si="5"/>
        <v>5.7785653748362743E-3</v>
      </c>
      <c r="I24" s="19"/>
    </row>
    <row r="25" spans="1:9" x14ac:dyDescent="0.4">
      <c r="A25" s="18">
        <v>2018</v>
      </c>
      <c r="B25" s="5">
        <v>356418</v>
      </c>
      <c r="C25" s="5">
        <f>B25-703-7000-3000-4000-5262-500-3000</f>
        <v>332953</v>
      </c>
      <c r="D25" s="5">
        <f t="shared" si="4"/>
        <v>109874</v>
      </c>
      <c r="E25" s="5">
        <v>109124</v>
      </c>
      <c r="F25" s="6">
        <f t="shared" si="0"/>
        <v>0.99317399930829864</v>
      </c>
      <c r="G25" s="5">
        <v>750</v>
      </c>
      <c r="H25" s="6">
        <f>G25/D25</f>
        <v>6.8260006917014032E-3</v>
      </c>
      <c r="I25" s="19"/>
    </row>
    <row r="26" spans="1:9" x14ac:dyDescent="0.4">
      <c r="A26" s="18">
        <v>2019</v>
      </c>
      <c r="B26" s="9">
        <v>333956</v>
      </c>
      <c r="C26" s="9">
        <f>B26-793-7000-3000-3000-5410-3000-3710</f>
        <v>308043</v>
      </c>
      <c r="D26" s="9">
        <v>100484</v>
      </c>
      <c r="E26" s="9">
        <f>D26-G26</f>
        <v>99734</v>
      </c>
      <c r="F26" s="6">
        <f t="shared" si="0"/>
        <v>0.99253612515425338</v>
      </c>
      <c r="G26" s="9">
        <v>750</v>
      </c>
      <c r="H26" s="10">
        <f>G26/D26</f>
        <v>7.4638748457465862E-3</v>
      </c>
      <c r="I26" s="19"/>
    </row>
    <row r="27" spans="1:9" x14ac:dyDescent="0.4">
      <c r="A27" s="18">
        <v>2020</v>
      </c>
      <c r="B27" s="9">
        <v>343377</v>
      </c>
      <c r="C27" s="9">
        <f>B27-933-7000-3000-2500-5300</f>
        <v>324644</v>
      </c>
      <c r="D27" s="9">
        <v>106710</v>
      </c>
      <c r="E27" s="9">
        <f>D27-G27</f>
        <v>105960</v>
      </c>
      <c r="F27" s="6">
        <f t="shared" si="0"/>
        <v>0.99297160528535278</v>
      </c>
      <c r="G27" s="9">
        <v>750</v>
      </c>
      <c r="H27" s="10">
        <f t="shared" ref="H27:H28" si="6">G27/D27</f>
        <v>7.0283947146471742E-3</v>
      </c>
      <c r="I27" s="19"/>
    </row>
    <row r="28" spans="1:9" x14ac:dyDescent="0.4">
      <c r="A28" s="18">
        <v>2021</v>
      </c>
      <c r="B28" s="9">
        <v>413635</v>
      </c>
      <c r="C28" s="9">
        <f>B28-969-7000-3723-2500-4927</f>
        <v>394516</v>
      </c>
      <c r="D28" s="9">
        <v>126245</v>
      </c>
      <c r="E28" s="9">
        <f>D28-G28</f>
        <v>125495</v>
      </c>
      <c r="F28" s="6">
        <f t="shared" si="0"/>
        <v>0.9940591706602242</v>
      </c>
      <c r="G28" s="9">
        <v>750</v>
      </c>
      <c r="H28" s="10">
        <f t="shared" si="6"/>
        <v>5.9408293397758324E-3</v>
      </c>
      <c r="I28" s="19"/>
    </row>
    <row r="29" spans="1:9" ht="15.75" customHeight="1" x14ac:dyDescent="0.4">
      <c r="A29" s="86" t="s">
        <v>82</v>
      </c>
      <c r="B29" s="4"/>
      <c r="C29" s="4"/>
      <c r="D29" s="4"/>
      <c r="E29" s="4"/>
      <c r="F29" s="4"/>
      <c r="G29" s="4"/>
      <c r="H29" s="20"/>
      <c r="I29" s="19"/>
    </row>
    <row r="30" spans="1:9" ht="17" x14ac:dyDescent="0.45">
      <c r="A30" s="21" t="s">
        <v>16</v>
      </c>
      <c r="B30" s="13"/>
      <c r="C30" s="21"/>
      <c r="D30" s="21"/>
      <c r="E30" s="29"/>
      <c r="F30" s="3"/>
      <c r="G30" s="3"/>
      <c r="H30" s="22"/>
      <c r="I30" s="19"/>
    </row>
    <row r="31" spans="1:9" x14ac:dyDescent="0.4">
      <c r="A31" s="23" t="s">
        <v>6</v>
      </c>
      <c r="B31" s="5">
        <f>AVERAGE(B19:B28)</f>
        <v>398782</v>
      </c>
      <c r="C31" s="5">
        <f t="shared" ref="C31:H31" si="7">AVERAGE(C19:C28)</f>
        <v>379762.4</v>
      </c>
      <c r="D31" s="5">
        <f t="shared" si="7"/>
        <v>124374.9</v>
      </c>
      <c r="E31" s="5">
        <f t="shared" si="7"/>
        <v>123624.9</v>
      </c>
      <c r="F31" s="12">
        <f t="shared" si="7"/>
        <v>0.99387201321832064</v>
      </c>
      <c r="G31" s="5">
        <f t="shared" si="7"/>
        <v>750</v>
      </c>
      <c r="H31" s="12">
        <f t="shared" si="7"/>
        <v>6.1279867816792554E-3</v>
      </c>
      <c r="I31" s="24" t="s">
        <v>3</v>
      </c>
    </row>
    <row r="32" spans="1:9" x14ac:dyDescent="0.4">
      <c r="A32" s="23" t="s">
        <v>7</v>
      </c>
      <c r="B32" s="5">
        <f>AVERAGE(B14:B28)</f>
        <v>351082.33333333331</v>
      </c>
      <c r="C32" s="5">
        <f t="shared" ref="C32:G32" si="8">AVERAGE(C14:C28)</f>
        <v>331429.26666666666</v>
      </c>
      <c r="D32" s="5">
        <f t="shared" si="8"/>
        <v>108173.4</v>
      </c>
      <c r="E32" s="5">
        <f t="shared" si="8"/>
        <v>107423.4</v>
      </c>
      <c r="F32" s="12">
        <f t="shared" ref="F32" si="9">AVERAGE(F20:F29)</f>
        <v>0.99393407226438357</v>
      </c>
      <c r="G32" s="5">
        <f t="shared" si="8"/>
        <v>750</v>
      </c>
      <c r="H32" s="12">
        <f t="shared" ref="H32" si="10">AVERAGE(H20:H29)</f>
        <v>6.0659277356164103E-3</v>
      </c>
      <c r="I32" s="24" t="s">
        <v>4</v>
      </c>
    </row>
    <row r="33" spans="1:9" x14ac:dyDescent="0.4">
      <c r="A33" s="23" t="s">
        <v>8</v>
      </c>
      <c r="B33" s="5">
        <f>AVERAGE(B9:B28)</f>
        <v>315666.75</v>
      </c>
      <c r="C33" s="5">
        <f t="shared" ref="C33:G33" si="11">AVERAGE(C9:C28)</f>
        <v>300560.45</v>
      </c>
      <c r="D33" s="5">
        <f t="shared" si="11"/>
        <v>96707.05</v>
      </c>
      <c r="E33" s="5">
        <f t="shared" si="11"/>
        <v>95957.05</v>
      </c>
      <c r="F33" s="12">
        <f t="shared" ref="F33" si="12">AVERAGE(F21:F30)</f>
        <v>0.99380779128341046</v>
      </c>
      <c r="G33" s="5">
        <f t="shared" si="11"/>
        <v>750</v>
      </c>
      <c r="H33" s="12">
        <f t="shared" ref="H33" si="13">AVERAGE(H21:H30)</f>
        <v>6.1922087165895475E-3</v>
      </c>
      <c r="I33" s="24" t="s">
        <v>5</v>
      </c>
    </row>
    <row r="34" spans="1:9" ht="16" thickBot="1" x14ac:dyDescent="0.45">
      <c r="A34" s="25" t="s">
        <v>10</v>
      </c>
      <c r="B34" s="26">
        <f>AVERAGE(B3:B28)</f>
        <v>307107.11538461538</v>
      </c>
      <c r="C34" s="26">
        <f t="shared" ref="C34:G34" si="14">AVERAGE(C3:C28)</f>
        <v>295478.61538461538</v>
      </c>
      <c r="D34" s="26">
        <f t="shared" si="14"/>
        <v>94832.461538461532</v>
      </c>
      <c r="E34" s="26">
        <f t="shared" si="14"/>
        <v>93967.076923076922</v>
      </c>
      <c r="F34" s="27">
        <f t="shared" ref="F34" si="15">AVERAGE(F22:F31)</f>
        <v>0.99368160675840889</v>
      </c>
      <c r="G34" s="26">
        <f t="shared" si="14"/>
        <v>865.38461538461536</v>
      </c>
      <c r="H34" s="27">
        <f t="shared" ref="H34" si="16">AVERAGE(H22:H31)</f>
        <v>6.3183932415910122E-3</v>
      </c>
      <c r="I34" s="28" t="s">
        <v>11</v>
      </c>
    </row>
    <row r="39" spans="1:9" x14ac:dyDescent="0.4">
      <c r="D39" s="2"/>
    </row>
    <row r="40" spans="1:9" x14ac:dyDescent="0.4">
      <c r="D40" s="2"/>
    </row>
    <row r="41" spans="1:9" x14ac:dyDescent="0.4">
      <c r="D41" s="2"/>
    </row>
    <row r="42" spans="1:9" x14ac:dyDescent="0.4">
      <c r="D42" s="2"/>
    </row>
    <row r="43" spans="1:9" x14ac:dyDescent="0.4">
      <c r="D43" s="2"/>
    </row>
    <row r="44" spans="1:9" x14ac:dyDescent="0.4">
      <c r="D44" s="2"/>
    </row>
    <row r="45" spans="1:9" x14ac:dyDescent="0.4">
      <c r="D45" s="2"/>
    </row>
    <row r="46" spans="1:9" x14ac:dyDescent="0.4">
      <c r="D46" s="2"/>
    </row>
    <row r="47" spans="1:9" x14ac:dyDescent="0.4">
      <c r="D47" s="2"/>
    </row>
    <row r="48" spans="1:9" x14ac:dyDescent="0.4">
      <c r="D48" s="2"/>
    </row>
    <row r="49" spans="4:4" x14ac:dyDescent="0.4">
      <c r="D49" s="2"/>
    </row>
    <row r="50" spans="4:4" x14ac:dyDescent="0.4">
      <c r="D50" s="2"/>
    </row>
    <row r="51" spans="4:4" x14ac:dyDescent="0.4">
      <c r="D51" s="2"/>
    </row>
    <row r="52" spans="4:4" x14ac:dyDescent="0.4">
      <c r="D52" s="2"/>
    </row>
    <row r="53" spans="4:4" x14ac:dyDescent="0.4">
      <c r="D53" s="2"/>
    </row>
    <row r="54" spans="4:4" x14ac:dyDescent="0.4">
      <c r="D54" s="2"/>
    </row>
    <row r="55" spans="4:4" x14ac:dyDescent="0.4">
      <c r="D55" s="2"/>
    </row>
    <row r="56" spans="4:4" x14ac:dyDescent="0.4">
      <c r="D56" s="2"/>
    </row>
    <row r="57" spans="4:4" x14ac:dyDescent="0.4">
      <c r="D57" s="2"/>
    </row>
    <row r="58" spans="4:4" x14ac:dyDescent="0.4">
      <c r="D58" s="2"/>
    </row>
    <row r="59" spans="4:4" x14ac:dyDescent="0.4">
      <c r="D59" s="2"/>
    </row>
    <row r="60" spans="4:4" x14ac:dyDescent="0.4">
      <c r="D60" s="2"/>
    </row>
    <row r="61" spans="4:4" x14ac:dyDescent="0.4">
      <c r="D61" s="2"/>
    </row>
    <row r="62" spans="4:4" x14ac:dyDescent="0.4">
      <c r="D62" s="4"/>
    </row>
    <row r="63" spans="4:4" x14ac:dyDescent="0.4">
      <c r="D63" s="4"/>
    </row>
  </sheetData>
  <mergeCells count="1">
    <mergeCell ref="M1:N1"/>
  </mergeCells>
  <pageMargins left="0.39370078740157483" right="0.19685039370078741" top="0.19685039370078741" bottom="0" header="0" footer="0"/>
  <pageSetup paperSize="9" scale="9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workbookViewId="0">
      <pane ySplit="2" topLeftCell="A3" activePane="bottomLeft" state="frozen"/>
      <selection pane="bottomLeft" activeCell="O29" sqref="O29"/>
    </sheetView>
  </sheetViews>
  <sheetFormatPr baseColWidth="10" defaultColWidth="11.453125" defaultRowHeight="15.5" x14ac:dyDescent="0.4"/>
  <cols>
    <col min="1" max="1" width="11.54296875" style="1" customWidth="1"/>
    <col min="2" max="2" width="11.7265625" style="1" customWidth="1"/>
    <col min="3" max="3" width="13.453125" style="1" customWidth="1"/>
    <col min="4" max="4" width="10.54296875" style="1" customWidth="1"/>
    <col min="5" max="5" width="11.26953125" style="1" customWidth="1"/>
    <col min="6" max="6" width="12.26953125" style="1" customWidth="1"/>
    <col min="7" max="7" width="8.453125" style="1" customWidth="1"/>
    <col min="8" max="8" width="12.1796875" style="1" customWidth="1"/>
    <col min="9" max="9" width="7" style="1" customWidth="1"/>
    <col min="10" max="10" width="0.7265625" style="1" customWidth="1"/>
    <col min="11" max="11" width="14.81640625" style="1" customWidth="1"/>
    <col min="12" max="12" width="8.26953125" style="1" customWidth="1"/>
    <col min="13" max="13" width="13.54296875" style="1" customWidth="1"/>
    <col min="14" max="14" width="12" style="1" customWidth="1"/>
    <col min="15" max="15" width="32.81640625" style="1" customWidth="1"/>
    <col min="16" max="16384" width="11.453125" style="1"/>
  </cols>
  <sheetData>
    <row r="1" spans="1:14" ht="22.5" thickBot="1" x14ac:dyDescent="0.65">
      <c r="A1" s="38" t="s">
        <v>17</v>
      </c>
      <c r="B1" s="14"/>
      <c r="C1" s="14"/>
      <c r="D1" s="14"/>
      <c r="E1" s="15"/>
      <c r="F1" s="15"/>
      <c r="G1" s="15"/>
      <c r="H1" s="15"/>
      <c r="I1" s="16"/>
      <c r="M1" s="88" t="s">
        <v>61</v>
      </c>
      <c r="N1" s="88"/>
    </row>
    <row r="2" spans="1:14" s="11" customFormat="1" ht="67.5" customHeight="1" x14ac:dyDescent="0.4">
      <c r="A2" s="81" t="s">
        <v>0</v>
      </c>
      <c r="B2" s="82" t="s">
        <v>2</v>
      </c>
      <c r="C2" s="82" t="s">
        <v>18</v>
      </c>
      <c r="D2" s="82" t="s">
        <v>32</v>
      </c>
      <c r="E2" s="82" t="s">
        <v>23</v>
      </c>
      <c r="F2" s="82" t="s">
        <v>13</v>
      </c>
      <c r="G2" s="82" t="s">
        <v>33</v>
      </c>
      <c r="H2" s="82" t="s">
        <v>14</v>
      </c>
      <c r="I2" s="17"/>
      <c r="K2" s="48" t="s">
        <v>51</v>
      </c>
      <c r="L2" s="49" t="s">
        <v>34</v>
      </c>
      <c r="M2" s="49" t="s">
        <v>52</v>
      </c>
      <c r="N2" s="50" t="s">
        <v>53</v>
      </c>
    </row>
    <row r="3" spans="1:14" ht="17" x14ac:dyDescent="0.4">
      <c r="A3" s="18">
        <v>1996</v>
      </c>
      <c r="B3" s="5">
        <v>90000</v>
      </c>
      <c r="C3" s="5">
        <v>90000</v>
      </c>
      <c r="D3" s="5">
        <v>35100</v>
      </c>
      <c r="E3" s="5">
        <v>34600</v>
      </c>
      <c r="F3" s="6">
        <v>0.98575498575498577</v>
      </c>
      <c r="G3" s="5">
        <v>500</v>
      </c>
      <c r="H3" s="6">
        <v>1.4245014245014245E-2</v>
      </c>
      <c r="I3" s="19"/>
      <c r="K3" s="51" t="s">
        <v>6</v>
      </c>
      <c r="L3" s="39" t="s">
        <v>3</v>
      </c>
      <c r="M3" s="40">
        <v>0.9819</v>
      </c>
      <c r="N3" s="52">
        <v>1.8100000000000002E-2</v>
      </c>
    </row>
    <row r="4" spans="1:14" ht="17" x14ac:dyDescent="0.4">
      <c r="A4" s="18">
        <v>1997</v>
      </c>
      <c r="B4" s="5">
        <v>109000</v>
      </c>
      <c r="C4" s="5">
        <v>109000</v>
      </c>
      <c r="D4" s="5">
        <v>42510</v>
      </c>
      <c r="E4" s="5">
        <v>42010</v>
      </c>
      <c r="F4" s="6">
        <v>0.98823806163255701</v>
      </c>
      <c r="G4" s="5">
        <v>500</v>
      </c>
      <c r="H4" s="6">
        <v>1.1761938367442954E-2</v>
      </c>
      <c r="I4" s="19"/>
      <c r="K4" s="51" t="s">
        <v>7</v>
      </c>
      <c r="L4" s="39" t="s">
        <v>4</v>
      </c>
      <c r="M4" s="40">
        <v>0.98109999999999997</v>
      </c>
      <c r="N4" s="52">
        <v>1.89E-2</v>
      </c>
    </row>
    <row r="5" spans="1:14" ht="17" x14ac:dyDescent="0.4">
      <c r="A5" s="18">
        <v>1998</v>
      </c>
      <c r="B5" s="5">
        <v>71000</v>
      </c>
      <c r="C5" s="5">
        <v>71000</v>
      </c>
      <c r="D5" s="5">
        <v>27690</v>
      </c>
      <c r="E5" s="5">
        <v>27190</v>
      </c>
      <c r="F5" s="6">
        <v>0.98194293968941859</v>
      </c>
      <c r="G5" s="5">
        <v>500</v>
      </c>
      <c r="H5" s="6">
        <v>1.8057060310581439E-2</v>
      </c>
      <c r="I5" s="19"/>
      <c r="K5" s="67" t="s">
        <v>8</v>
      </c>
      <c r="L5" s="68" t="s">
        <v>5</v>
      </c>
      <c r="M5" s="69">
        <v>0.9778</v>
      </c>
      <c r="N5" s="70">
        <v>2.2200000000000001E-2</v>
      </c>
    </row>
    <row r="6" spans="1:14" ht="17.5" thickBot="1" x14ac:dyDescent="0.45">
      <c r="A6" s="18">
        <v>1999</v>
      </c>
      <c r="B6" s="5">
        <v>46000</v>
      </c>
      <c r="C6" s="5">
        <v>46000</v>
      </c>
      <c r="D6" s="5">
        <v>17940</v>
      </c>
      <c r="E6" s="5">
        <v>17440</v>
      </c>
      <c r="F6" s="6">
        <v>0.97212931995540686</v>
      </c>
      <c r="G6" s="5">
        <v>500</v>
      </c>
      <c r="H6" s="6">
        <v>2.7870680044593088E-2</v>
      </c>
      <c r="I6" s="19"/>
      <c r="K6" s="53" t="s">
        <v>10</v>
      </c>
      <c r="L6" s="54" t="s">
        <v>11</v>
      </c>
      <c r="M6" s="55">
        <v>0.9768</v>
      </c>
      <c r="N6" s="56">
        <v>2.3199999999999998E-2</v>
      </c>
    </row>
    <row r="7" spans="1:14" x14ac:dyDescent="0.4">
      <c r="A7" s="18">
        <v>2000</v>
      </c>
      <c r="B7" s="5">
        <v>38400</v>
      </c>
      <c r="C7" s="5">
        <v>38400</v>
      </c>
      <c r="D7" s="5">
        <v>15000</v>
      </c>
      <c r="E7" s="5">
        <v>14250</v>
      </c>
      <c r="F7" s="6">
        <v>0.95</v>
      </c>
      <c r="G7" s="5">
        <v>750</v>
      </c>
      <c r="H7" s="6">
        <v>0.05</v>
      </c>
      <c r="I7" s="19"/>
    </row>
    <row r="8" spans="1:14" x14ac:dyDescent="0.4">
      <c r="A8" s="18">
        <v>2001</v>
      </c>
      <c r="B8" s="5">
        <v>51300</v>
      </c>
      <c r="C8" s="5">
        <v>50835</v>
      </c>
      <c r="D8" s="5">
        <v>19826</v>
      </c>
      <c r="E8" s="5">
        <v>19076</v>
      </c>
      <c r="F8" s="6">
        <v>0.96217088671441542</v>
      </c>
      <c r="G8" s="5">
        <v>750</v>
      </c>
      <c r="H8" s="6">
        <v>3.7829113285584588E-2</v>
      </c>
      <c r="I8" s="19"/>
    </row>
    <row r="9" spans="1:14" x14ac:dyDescent="0.4">
      <c r="A9" s="18">
        <v>2002</v>
      </c>
      <c r="B9" s="5">
        <v>51300</v>
      </c>
      <c r="C9" s="5">
        <v>50835</v>
      </c>
      <c r="D9" s="5">
        <v>19317</v>
      </c>
      <c r="E9" s="5">
        <v>18567</v>
      </c>
      <c r="F9" s="6">
        <v>0.96117409535642184</v>
      </c>
      <c r="G9" s="5">
        <v>750</v>
      </c>
      <c r="H9" s="6">
        <v>3.8825904643578192E-2</v>
      </c>
      <c r="I9" s="19"/>
    </row>
    <row r="10" spans="1:14" x14ac:dyDescent="0.4">
      <c r="A10" s="18">
        <v>2003</v>
      </c>
      <c r="B10" s="5">
        <v>57500</v>
      </c>
      <c r="C10" s="5">
        <v>57500</v>
      </c>
      <c r="D10" s="5">
        <v>21850</v>
      </c>
      <c r="E10" s="5">
        <v>21100</v>
      </c>
      <c r="F10" s="6">
        <v>0.96567505720823799</v>
      </c>
      <c r="G10" s="5">
        <v>750</v>
      </c>
      <c r="H10" s="6">
        <v>3.4324942791762014E-2</v>
      </c>
      <c r="I10" s="19"/>
    </row>
    <row r="11" spans="1:14" x14ac:dyDescent="0.4">
      <c r="A11" s="18">
        <v>2004</v>
      </c>
      <c r="B11" s="7">
        <v>71500</v>
      </c>
      <c r="C11" s="7">
        <v>71200</v>
      </c>
      <c r="D11" s="5">
        <v>27056</v>
      </c>
      <c r="E11" s="5">
        <v>26306</v>
      </c>
      <c r="F11" s="6">
        <v>0.97227971614429332</v>
      </c>
      <c r="G11" s="8">
        <v>750</v>
      </c>
      <c r="H11" s="6">
        <v>2.7720283855706681E-2</v>
      </c>
      <c r="I11" s="19"/>
    </row>
    <row r="12" spans="1:14" x14ac:dyDescent="0.4">
      <c r="A12" s="18">
        <v>2005</v>
      </c>
      <c r="B12" s="5">
        <v>65300</v>
      </c>
      <c r="C12" s="5">
        <v>65300</v>
      </c>
      <c r="D12" s="5">
        <v>24814</v>
      </c>
      <c r="E12" s="5">
        <v>24064</v>
      </c>
      <c r="F12" s="6">
        <v>0.96977512694446688</v>
      </c>
      <c r="G12" s="8">
        <v>750</v>
      </c>
      <c r="H12" s="6">
        <v>3.0224873055533168E-2</v>
      </c>
      <c r="I12" s="19"/>
    </row>
    <row r="13" spans="1:14" x14ac:dyDescent="0.4">
      <c r="A13" s="18">
        <v>2006</v>
      </c>
      <c r="B13" s="5">
        <v>67650</v>
      </c>
      <c r="C13" s="5">
        <v>67650</v>
      </c>
      <c r="D13" s="5">
        <v>25707</v>
      </c>
      <c r="E13" s="5">
        <v>24957</v>
      </c>
      <c r="F13" s="6">
        <v>0.97082506710234562</v>
      </c>
      <c r="G13" s="8">
        <v>750</v>
      </c>
      <c r="H13" s="6">
        <v>2.9174932897654337E-2</v>
      </c>
      <c r="I13" s="19"/>
    </row>
    <row r="14" spans="1:14" x14ac:dyDescent="0.4">
      <c r="A14" s="18">
        <v>2007</v>
      </c>
      <c r="B14" s="5">
        <v>76050</v>
      </c>
      <c r="C14" s="5">
        <v>74050</v>
      </c>
      <c r="D14" s="5">
        <v>28139</v>
      </c>
      <c r="E14" s="5">
        <v>27389</v>
      </c>
      <c r="F14" s="6">
        <v>0.97334660080315571</v>
      </c>
      <c r="G14" s="8">
        <v>750</v>
      </c>
      <c r="H14" s="6">
        <v>2.6653399196844237E-2</v>
      </c>
      <c r="I14" s="19"/>
    </row>
    <row r="15" spans="1:14" x14ac:dyDescent="0.4">
      <c r="A15" s="18">
        <v>2008</v>
      </c>
      <c r="B15" s="5">
        <v>78500</v>
      </c>
      <c r="C15" s="5">
        <v>76500</v>
      </c>
      <c r="D15" s="5">
        <v>29070</v>
      </c>
      <c r="E15" s="5">
        <v>28320</v>
      </c>
      <c r="F15" s="6">
        <v>0.97420020639834881</v>
      </c>
      <c r="G15" s="8">
        <v>750</v>
      </c>
      <c r="H15" s="6">
        <v>2.5799793601651185E-2</v>
      </c>
      <c r="I15" s="19"/>
    </row>
    <row r="16" spans="1:14" x14ac:dyDescent="0.4">
      <c r="A16" s="18">
        <v>2009</v>
      </c>
      <c r="B16" s="5">
        <v>97050</v>
      </c>
      <c r="C16" s="5">
        <v>95050</v>
      </c>
      <c r="D16" s="5">
        <v>36119</v>
      </c>
      <c r="E16" s="5">
        <v>35369</v>
      </c>
      <c r="F16" s="6">
        <v>0.97923530551787152</v>
      </c>
      <c r="G16" s="8">
        <v>750</v>
      </c>
      <c r="H16" s="6">
        <v>2.0764694482128521E-2</v>
      </c>
      <c r="I16" s="19"/>
    </row>
    <row r="17" spans="1:9" x14ac:dyDescent="0.4">
      <c r="A17" s="18">
        <v>2010</v>
      </c>
      <c r="B17" s="5">
        <v>120400</v>
      </c>
      <c r="C17" s="5">
        <v>118400</v>
      </c>
      <c r="D17" s="5">
        <v>44992</v>
      </c>
      <c r="E17" s="5">
        <v>44242</v>
      </c>
      <c r="F17" s="6">
        <v>0.98333036984352773</v>
      </c>
      <c r="G17" s="8">
        <v>750</v>
      </c>
      <c r="H17" s="6">
        <v>1.666963015647226E-2</v>
      </c>
      <c r="I17" s="19"/>
    </row>
    <row r="18" spans="1:9" x14ac:dyDescent="0.4">
      <c r="A18" s="18">
        <v>2011</v>
      </c>
      <c r="B18" s="5">
        <v>158453</v>
      </c>
      <c r="C18" s="5">
        <v>156153</v>
      </c>
      <c r="D18" s="5">
        <v>59338</v>
      </c>
      <c r="E18" s="5">
        <v>58588</v>
      </c>
      <c r="F18" s="6">
        <v>0.98736054467626144</v>
      </c>
      <c r="G18" s="8">
        <v>750</v>
      </c>
      <c r="H18" s="6">
        <v>1.2639455323738582E-2</v>
      </c>
      <c r="I18" s="19"/>
    </row>
    <row r="19" spans="1:9" x14ac:dyDescent="0.4">
      <c r="A19" s="18">
        <v>2012</v>
      </c>
      <c r="B19" s="5">
        <v>158453</v>
      </c>
      <c r="C19" s="5">
        <v>156153</v>
      </c>
      <c r="D19" s="5">
        <v>59338</v>
      </c>
      <c r="E19" s="5">
        <v>58588</v>
      </c>
      <c r="F19" s="6">
        <v>0.98736054467626144</v>
      </c>
      <c r="G19" s="8">
        <v>750</v>
      </c>
      <c r="H19" s="6">
        <v>1.2639455323738582E-2</v>
      </c>
      <c r="I19" s="19"/>
    </row>
    <row r="20" spans="1:9" x14ac:dyDescent="0.4">
      <c r="A20" s="18">
        <v>2013</v>
      </c>
      <c r="B20" s="5">
        <v>101107</v>
      </c>
      <c r="C20" s="5">
        <v>98807</v>
      </c>
      <c r="D20" s="5">
        <v>37547</v>
      </c>
      <c r="E20" s="5">
        <v>36797</v>
      </c>
      <c r="F20" s="6">
        <v>0.98002503528910434</v>
      </c>
      <c r="G20" s="5">
        <v>750</v>
      </c>
      <c r="H20" s="6">
        <v>1.9974964710895677E-2</v>
      </c>
      <c r="I20" s="19"/>
    </row>
    <row r="21" spans="1:9" x14ac:dyDescent="0.4">
      <c r="A21" s="18">
        <v>2014</v>
      </c>
      <c r="B21" s="5">
        <v>90484</v>
      </c>
      <c r="C21" s="5">
        <v>88040</v>
      </c>
      <c r="D21" s="5">
        <v>33148</v>
      </c>
      <c r="E21" s="5">
        <v>32398</v>
      </c>
      <c r="F21" s="6">
        <v>0.97737420055508628</v>
      </c>
      <c r="G21" s="5">
        <v>750</v>
      </c>
      <c r="H21" s="6">
        <v>2.2625799444913719E-2</v>
      </c>
      <c r="I21" s="19"/>
    </row>
    <row r="22" spans="1:9" x14ac:dyDescent="0.4">
      <c r="A22" s="18">
        <v>2015</v>
      </c>
      <c r="B22" s="5">
        <v>111947</v>
      </c>
      <c r="C22" s="5">
        <v>110169</v>
      </c>
      <c r="D22" s="5">
        <v>45039</v>
      </c>
      <c r="E22" s="5">
        <v>44289</v>
      </c>
      <c r="F22" s="6">
        <v>0.98334776527009926</v>
      </c>
      <c r="G22" s="5">
        <v>750</v>
      </c>
      <c r="H22" s="6">
        <v>1.6652234729900753E-2</v>
      </c>
      <c r="I22" s="19"/>
    </row>
    <row r="23" spans="1:9" x14ac:dyDescent="0.4">
      <c r="A23" s="18">
        <v>2016</v>
      </c>
      <c r="B23" s="5">
        <v>122394</v>
      </c>
      <c r="C23" s="5">
        <v>121721</v>
      </c>
      <c r="D23" s="5">
        <v>46254</v>
      </c>
      <c r="E23" s="5">
        <v>45504</v>
      </c>
      <c r="F23" s="6">
        <v>0.98378518614606303</v>
      </c>
      <c r="G23" s="5">
        <v>750</v>
      </c>
      <c r="H23" s="6">
        <v>1.6214813853936957E-2</v>
      </c>
      <c r="I23" s="19"/>
    </row>
    <row r="24" spans="1:9" x14ac:dyDescent="0.4">
      <c r="A24" s="18">
        <v>2017</v>
      </c>
      <c r="B24" s="5">
        <v>116865</v>
      </c>
      <c r="C24" s="5">
        <v>115062</v>
      </c>
      <c r="D24" s="5">
        <v>43724</v>
      </c>
      <c r="E24" s="5">
        <v>42974</v>
      </c>
      <c r="F24" s="6">
        <v>0.98284694904400327</v>
      </c>
      <c r="G24" s="5">
        <v>750</v>
      </c>
      <c r="H24" s="6">
        <v>1.7153050955996705E-2</v>
      </c>
      <c r="I24" s="19"/>
    </row>
    <row r="25" spans="1:9" x14ac:dyDescent="0.4">
      <c r="A25" s="18">
        <v>2018</v>
      </c>
      <c r="B25" s="5">
        <v>101605</v>
      </c>
      <c r="C25" s="5">
        <v>99467</v>
      </c>
      <c r="D25" s="5">
        <v>37797</v>
      </c>
      <c r="E25" s="5">
        <v>37047</v>
      </c>
      <c r="F25" s="6">
        <v>0.98015715532978809</v>
      </c>
      <c r="G25" s="5">
        <v>750</v>
      </c>
      <c r="H25" s="6">
        <v>1.9842844670211923E-2</v>
      </c>
      <c r="I25" s="19"/>
    </row>
    <row r="26" spans="1:9" x14ac:dyDescent="0.4">
      <c r="A26" s="18">
        <v>2019</v>
      </c>
      <c r="B26" s="9">
        <v>85080</v>
      </c>
      <c r="C26" s="9">
        <v>82748</v>
      </c>
      <c r="D26" s="9">
        <v>38265</v>
      </c>
      <c r="E26" s="9">
        <v>37515</v>
      </c>
      <c r="F26" s="6">
        <v>0.98039984319874562</v>
      </c>
      <c r="G26" s="9">
        <v>750</v>
      </c>
      <c r="H26" s="10">
        <v>1.9600156801254411E-2</v>
      </c>
      <c r="I26" s="19"/>
    </row>
    <row r="27" spans="1:9" x14ac:dyDescent="0.4">
      <c r="A27" s="18">
        <v>2020</v>
      </c>
      <c r="B27" s="9">
        <v>107971</v>
      </c>
      <c r="C27" s="9">
        <v>105828</v>
      </c>
      <c r="D27" s="9">
        <v>40215</v>
      </c>
      <c r="E27" s="9">
        <v>39465</v>
      </c>
      <c r="F27" s="6">
        <v>0.98135024244684821</v>
      </c>
      <c r="G27" s="9">
        <v>750</v>
      </c>
      <c r="H27" s="10">
        <v>1.8649757553151809E-2</v>
      </c>
      <c r="I27" s="19"/>
    </row>
    <row r="28" spans="1:9" x14ac:dyDescent="0.4">
      <c r="A28" s="18">
        <v>2021</v>
      </c>
      <c r="B28" s="9">
        <v>113348</v>
      </c>
      <c r="C28" s="9">
        <v>110916</v>
      </c>
      <c r="D28" s="9">
        <v>42148</v>
      </c>
      <c r="E28" s="9">
        <v>41398</v>
      </c>
      <c r="F28" s="6">
        <v>0.98220556135522441</v>
      </c>
      <c r="G28" s="9">
        <v>750</v>
      </c>
      <c r="H28" s="10">
        <v>1.7794438644775552E-2</v>
      </c>
      <c r="I28" s="19"/>
    </row>
    <row r="29" spans="1:9" ht="15.75" customHeight="1" x14ac:dyDescent="0.4">
      <c r="A29" s="86" t="s">
        <v>82</v>
      </c>
      <c r="B29" s="4"/>
      <c r="C29" s="4"/>
      <c r="D29" s="4"/>
      <c r="E29" s="4"/>
      <c r="F29" s="4"/>
      <c r="G29" s="4"/>
      <c r="H29" s="20"/>
      <c r="I29" s="19"/>
    </row>
    <row r="30" spans="1:9" ht="17" x14ac:dyDescent="0.45">
      <c r="A30" s="21" t="s">
        <v>16</v>
      </c>
      <c r="B30" s="13"/>
      <c r="C30" s="21"/>
      <c r="D30" s="21"/>
      <c r="E30" s="29"/>
      <c r="F30" s="3"/>
      <c r="G30" s="3"/>
      <c r="H30" s="22"/>
      <c r="I30" s="19"/>
    </row>
    <row r="31" spans="1:9" x14ac:dyDescent="0.4">
      <c r="A31" s="23" t="s">
        <v>6</v>
      </c>
      <c r="B31" s="5">
        <f>AVERAGE(B19:B28)</f>
        <v>110925.4</v>
      </c>
      <c r="C31" s="5">
        <f t="shared" ref="C31:H31" si="0">AVERAGE(C19:C28)</f>
        <v>108891.1</v>
      </c>
      <c r="D31" s="5">
        <f t="shared" si="0"/>
        <v>42347.5</v>
      </c>
      <c r="E31" s="5">
        <f t="shared" si="0"/>
        <v>41597.5</v>
      </c>
      <c r="F31" s="12">
        <f t="shared" si="0"/>
        <v>0.98188524833112234</v>
      </c>
      <c r="G31" s="5">
        <f t="shared" si="0"/>
        <v>750</v>
      </c>
      <c r="H31" s="12">
        <f t="shared" si="0"/>
        <v>1.8114751668877611E-2</v>
      </c>
      <c r="I31" s="24" t="s">
        <v>3</v>
      </c>
    </row>
    <row r="32" spans="1:9" x14ac:dyDescent="0.4">
      <c r="A32" s="23" t="s">
        <v>7</v>
      </c>
      <c r="B32" s="5">
        <f>AVERAGE(B14:B28)</f>
        <v>109313.8</v>
      </c>
      <c r="C32" s="5">
        <f t="shared" ref="C32:H32" si="1">AVERAGE(C14:C28)</f>
        <v>107270.93333333333</v>
      </c>
      <c r="D32" s="5">
        <f t="shared" si="1"/>
        <v>41408.866666666669</v>
      </c>
      <c r="E32" s="5">
        <f t="shared" si="1"/>
        <v>40658.866666666669</v>
      </c>
      <c r="F32" s="12">
        <f t="shared" si="1"/>
        <v>0.9810883673700258</v>
      </c>
      <c r="G32" s="5">
        <f t="shared" si="1"/>
        <v>750</v>
      </c>
      <c r="H32" s="12">
        <f t="shared" si="1"/>
        <v>1.8911632629974053E-2</v>
      </c>
      <c r="I32" s="24" t="s">
        <v>4</v>
      </c>
    </row>
    <row r="33" spans="1:9" x14ac:dyDescent="0.4">
      <c r="A33" s="23" t="s">
        <v>8</v>
      </c>
      <c r="B33" s="5">
        <f>AVERAGE(B9:B28)</f>
        <v>97647.85</v>
      </c>
      <c r="C33" s="5">
        <f t="shared" ref="C33:H33" si="2">AVERAGE(C9:C28)</f>
        <v>96077.45</v>
      </c>
      <c r="D33" s="5">
        <f t="shared" si="2"/>
        <v>36993.85</v>
      </c>
      <c r="E33" s="5">
        <f t="shared" si="2"/>
        <v>36243.85</v>
      </c>
      <c r="F33" s="12">
        <f t="shared" si="2"/>
        <v>0.97780272866530782</v>
      </c>
      <c r="G33" s="5">
        <f t="shared" si="2"/>
        <v>750</v>
      </c>
      <c r="H33" s="12">
        <f t="shared" si="2"/>
        <v>2.2197271334692258E-2</v>
      </c>
      <c r="I33" s="24" t="s">
        <v>5</v>
      </c>
    </row>
    <row r="34" spans="1:9" ht="16" thickBot="1" x14ac:dyDescent="0.45">
      <c r="A34" s="25" t="s">
        <v>10</v>
      </c>
      <c r="B34" s="26">
        <f>AVERAGE(B3:B28)</f>
        <v>90717.576923076922</v>
      </c>
      <c r="C34" s="26">
        <f t="shared" ref="C34:H34" si="3">AVERAGE(C3:C28)</f>
        <v>89491.692307692312</v>
      </c>
      <c r="D34" s="26">
        <f t="shared" si="3"/>
        <v>34536.269230769234</v>
      </c>
      <c r="E34" s="26">
        <f t="shared" si="3"/>
        <v>33824.730769230766</v>
      </c>
      <c r="F34" s="27">
        <f t="shared" si="3"/>
        <v>0.97678041411742078</v>
      </c>
      <c r="G34" s="26">
        <f t="shared" si="3"/>
        <v>711.53846153846155</v>
      </c>
      <c r="H34" s="27">
        <f t="shared" si="3"/>
        <v>2.3219585882579288E-2</v>
      </c>
      <c r="I34" s="28" t="s">
        <v>11</v>
      </c>
    </row>
    <row r="39" spans="1:9" x14ac:dyDescent="0.4">
      <c r="D39" s="2"/>
    </row>
    <row r="40" spans="1:9" x14ac:dyDescent="0.4">
      <c r="D40" s="2"/>
    </row>
    <row r="41" spans="1:9" x14ac:dyDescent="0.4">
      <c r="D41" s="2"/>
    </row>
    <row r="42" spans="1:9" x14ac:dyDescent="0.4">
      <c r="D42" s="2"/>
    </row>
    <row r="43" spans="1:9" x14ac:dyDescent="0.4">
      <c r="D43" s="2"/>
    </row>
    <row r="44" spans="1:9" x14ac:dyDescent="0.4">
      <c r="D44" s="2"/>
    </row>
    <row r="45" spans="1:9" x14ac:dyDescent="0.4">
      <c r="D45" s="2"/>
    </row>
    <row r="46" spans="1:9" x14ac:dyDescent="0.4">
      <c r="D46" s="2"/>
    </row>
    <row r="47" spans="1:9" x14ac:dyDescent="0.4">
      <c r="D47" s="2"/>
    </row>
    <row r="48" spans="1:9" x14ac:dyDescent="0.4">
      <c r="D48" s="2"/>
    </row>
    <row r="49" spans="4:4" x14ac:dyDescent="0.4">
      <c r="D49" s="2"/>
    </row>
    <row r="50" spans="4:4" x14ac:dyDescent="0.4">
      <c r="D50" s="2"/>
    </row>
    <row r="51" spans="4:4" x14ac:dyDescent="0.4">
      <c r="D51" s="2"/>
    </row>
    <row r="52" spans="4:4" x14ac:dyDescent="0.4">
      <c r="D52" s="2"/>
    </row>
    <row r="53" spans="4:4" x14ac:dyDescent="0.4">
      <c r="D53" s="2"/>
    </row>
    <row r="54" spans="4:4" x14ac:dyDescent="0.4">
      <c r="D54" s="2"/>
    </row>
    <row r="55" spans="4:4" x14ac:dyDescent="0.4">
      <c r="D55" s="2"/>
    </row>
    <row r="56" spans="4:4" x14ac:dyDescent="0.4">
      <c r="D56" s="2"/>
    </row>
    <row r="57" spans="4:4" x14ac:dyDescent="0.4">
      <c r="D57" s="2"/>
    </row>
    <row r="58" spans="4:4" x14ac:dyDescent="0.4">
      <c r="D58" s="2"/>
    </row>
    <row r="59" spans="4:4" x14ac:dyDescent="0.4">
      <c r="D59" s="2"/>
    </row>
    <row r="60" spans="4:4" x14ac:dyDescent="0.4">
      <c r="D60" s="2"/>
    </row>
    <row r="61" spans="4:4" x14ac:dyDescent="0.4">
      <c r="D61" s="2"/>
    </row>
    <row r="62" spans="4:4" x14ac:dyDescent="0.4">
      <c r="D62" s="4"/>
    </row>
    <row r="63" spans="4:4" x14ac:dyDescent="0.4">
      <c r="D63" s="4"/>
    </row>
  </sheetData>
  <mergeCells count="1">
    <mergeCell ref="M1:N1"/>
  </mergeCells>
  <pageMargins left="0.31496062992125984" right="0.31496062992125984" top="0.15748031496062992" bottom="0" header="0" footer="0"/>
  <pageSetup paperSize="9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7"/>
  <sheetViews>
    <sheetView workbookViewId="0">
      <pane xSplit="9" ySplit="2" topLeftCell="J3" activePane="bottomRight" state="frozen"/>
      <selection pane="topRight" activeCell="J1" sqref="J1"/>
      <selection pane="bottomLeft" activeCell="A3" sqref="A3"/>
      <selection pane="bottomRight" activeCell="S27" sqref="S27"/>
    </sheetView>
  </sheetViews>
  <sheetFormatPr baseColWidth="10" defaultRowHeight="14.5" x14ac:dyDescent="0.35"/>
  <cols>
    <col min="1" max="1" width="10.7265625" customWidth="1"/>
    <col min="2" max="2" width="12.26953125" bestFit="1" customWidth="1"/>
    <col min="3" max="3" width="13.1796875" customWidth="1"/>
    <col min="4" max="4" width="12.7265625" customWidth="1"/>
    <col min="5" max="5" width="14.453125" customWidth="1"/>
    <col min="6" max="6" width="14.26953125" customWidth="1"/>
    <col min="8" max="8" width="13.1796875" customWidth="1"/>
    <col min="9" max="9" width="8.7265625" customWidth="1"/>
    <col min="10" max="10" width="11.54296875" customWidth="1"/>
    <col min="11" max="11" width="6.7265625" bestFit="1" customWidth="1"/>
    <col min="12" max="12" width="1" customWidth="1"/>
    <col min="13" max="13" width="14.7265625" customWidth="1"/>
    <col min="14" max="14" width="7.54296875" customWidth="1"/>
    <col min="15" max="15" width="12" customWidth="1"/>
    <col min="16" max="16" width="11.54296875" customWidth="1"/>
  </cols>
  <sheetData>
    <row r="1" spans="1:17" ht="22.5" thickBot="1" x14ac:dyDescent="0.65">
      <c r="A1" s="38" t="s">
        <v>19</v>
      </c>
      <c r="B1" s="14"/>
      <c r="C1" s="14"/>
      <c r="D1" s="14"/>
      <c r="E1" s="14"/>
      <c r="F1" s="14"/>
      <c r="G1" s="15"/>
      <c r="H1" s="15"/>
      <c r="I1" s="15"/>
      <c r="J1" s="15"/>
      <c r="K1" s="30"/>
      <c r="O1" s="88" t="s">
        <v>62</v>
      </c>
      <c r="P1" s="88"/>
    </row>
    <row r="2" spans="1:17" ht="85" x14ac:dyDescent="0.35">
      <c r="A2" s="81" t="s">
        <v>0</v>
      </c>
      <c r="B2" s="82" t="s">
        <v>9</v>
      </c>
      <c r="C2" s="82" t="s">
        <v>20</v>
      </c>
      <c r="D2" s="82" t="s">
        <v>32</v>
      </c>
      <c r="E2" s="82" t="s">
        <v>22</v>
      </c>
      <c r="F2" s="82" t="s">
        <v>25</v>
      </c>
      <c r="G2" s="82" t="s">
        <v>23</v>
      </c>
      <c r="H2" s="82" t="s">
        <v>21</v>
      </c>
      <c r="I2" s="82" t="s">
        <v>33</v>
      </c>
      <c r="J2" s="82" t="s">
        <v>14</v>
      </c>
      <c r="K2" s="32"/>
      <c r="M2" s="48" t="s">
        <v>51</v>
      </c>
      <c r="N2" s="49" t="s">
        <v>34</v>
      </c>
      <c r="O2" s="49" t="s">
        <v>65</v>
      </c>
      <c r="P2" s="50" t="s">
        <v>53</v>
      </c>
    </row>
    <row r="3" spans="1:17" ht="17" x14ac:dyDescent="0.4">
      <c r="A3" s="18">
        <v>1996</v>
      </c>
      <c r="B3" s="5">
        <v>158000</v>
      </c>
      <c r="C3" s="5">
        <v>158000</v>
      </c>
      <c r="D3" s="5">
        <f>G3+I3</f>
        <v>59000</v>
      </c>
      <c r="E3" s="5"/>
      <c r="F3" s="5">
        <f>D3-E3</f>
        <v>59000</v>
      </c>
      <c r="G3" s="5">
        <f>39200+8000</f>
        <v>47200</v>
      </c>
      <c r="H3" s="6">
        <f>G3/F3</f>
        <v>0.8</v>
      </c>
      <c r="I3" s="5">
        <f>9800+2000</f>
        <v>11800</v>
      </c>
      <c r="J3" s="6">
        <f>I3/F3</f>
        <v>0.2</v>
      </c>
      <c r="K3" s="32"/>
      <c r="M3" s="51" t="s">
        <v>6</v>
      </c>
      <c r="N3" s="39" t="s">
        <v>3</v>
      </c>
      <c r="O3" s="40">
        <v>0.80879999999999996</v>
      </c>
      <c r="P3" s="52">
        <v>0.19120000000000001</v>
      </c>
      <c r="Q3" s="41"/>
    </row>
    <row r="4" spans="1:17" ht="17" x14ac:dyDescent="0.4">
      <c r="A4" s="18">
        <v>1997</v>
      </c>
      <c r="B4" s="5">
        <v>118500</v>
      </c>
      <c r="C4" s="5">
        <v>118500</v>
      </c>
      <c r="D4" s="5">
        <v>41750</v>
      </c>
      <c r="E4" s="5"/>
      <c r="F4" s="5">
        <f t="shared" ref="F4:F28" si="0">D4-E4</f>
        <v>41750</v>
      </c>
      <c r="G4" s="5">
        <v>33400</v>
      </c>
      <c r="H4" s="6">
        <f t="shared" ref="H4:H28" si="1">G4/F4</f>
        <v>0.8</v>
      </c>
      <c r="I4" s="5">
        <v>8350</v>
      </c>
      <c r="J4" s="6">
        <f t="shared" ref="J4:J28" si="2">I4/F4</f>
        <v>0.2</v>
      </c>
      <c r="K4" s="32"/>
      <c r="M4" s="51" t="s">
        <v>7</v>
      </c>
      <c r="N4" s="39" t="s">
        <v>4</v>
      </c>
      <c r="O4" s="40">
        <v>0.80979999999999996</v>
      </c>
      <c r="P4" s="52">
        <v>0.19020000000000001</v>
      </c>
      <c r="Q4" s="41"/>
    </row>
    <row r="5" spans="1:17" ht="15.75" customHeight="1" x14ac:dyDescent="0.4">
      <c r="A5" s="18">
        <v>1998</v>
      </c>
      <c r="B5" s="5">
        <v>137500</v>
      </c>
      <c r="C5" s="5">
        <v>137500</v>
      </c>
      <c r="D5" s="5">
        <v>48400</v>
      </c>
      <c r="E5" s="5"/>
      <c r="F5" s="5">
        <f t="shared" si="0"/>
        <v>48400</v>
      </c>
      <c r="G5" s="5">
        <v>38720</v>
      </c>
      <c r="H5" s="6">
        <f t="shared" si="1"/>
        <v>0.8</v>
      </c>
      <c r="I5" s="5">
        <v>9680</v>
      </c>
      <c r="J5" s="6">
        <f t="shared" si="2"/>
        <v>0.2</v>
      </c>
      <c r="K5" s="32"/>
      <c r="M5" s="67" t="s">
        <v>8</v>
      </c>
      <c r="N5" s="68" t="s">
        <v>5</v>
      </c>
      <c r="O5" s="69">
        <v>0.81069999999999998</v>
      </c>
      <c r="P5" s="70">
        <v>0.1893</v>
      </c>
      <c r="Q5" s="41"/>
    </row>
    <row r="6" spans="1:17" ht="17.25" customHeight="1" thickBot="1" x14ac:dyDescent="0.45">
      <c r="A6" s="18">
        <v>1999</v>
      </c>
      <c r="B6" s="5">
        <v>137500</v>
      </c>
      <c r="C6" s="5">
        <v>137500</v>
      </c>
      <c r="D6" s="5">
        <v>48538</v>
      </c>
      <c r="E6" s="5"/>
      <c r="F6" s="5">
        <f t="shared" si="0"/>
        <v>48538</v>
      </c>
      <c r="G6" s="5">
        <v>38830</v>
      </c>
      <c r="H6" s="6">
        <f t="shared" si="1"/>
        <v>0.79999175903415876</v>
      </c>
      <c r="I6" s="5">
        <v>9708</v>
      </c>
      <c r="J6" s="6">
        <f t="shared" si="2"/>
        <v>0.20000824096584119</v>
      </c>
      <c r="K6" s="32"/>
      <c r="M6" s="53" t="s">
        <v>10</v>
      </c>
      <c r="N6" s="54" t="s">
        <v>11</v>
      </c>
      <c r="O6" s="55">
        <v>0.80879999999999996</v>
      </c>
      <c r="P6" s="56">
        <v>0.19120000000000001</v>
      </c>
      <c r="Q6" s="41"/>
    </row>
    <row r="7" spans="1:17" ht="15.5" x14ac:dyDescent="0.4">
      <c r="A7" s="18">
        <v>2000</v>
      </c>
      <c r="B7" s="5">
        <v>118500</v>
      </c>
      <c r="C7" s="5">
        <v>118500</v>
      </c>
      <c r="D7" s="5">
        <v>41830</v>
      </c>
      <c r="E7" s="5">
        <v>1000</v>
      </c>
      <c r="F7" s="5">
        <f t="shared" si="0"/>
        <v>40830</v>
      </c>
      <c r="G7" s="5">
        <v>32960</v>
      </c>
      <c r="H7" s="6">
        <f>G7/F7</f>
        <v>0.80724957139358311</v>
      </c>
      <c r="I7" s="5">
        <v>7870</v>
      </c>
      <c r="J7" s="6">
        <f t="shared" si="2"/>
        <v>0.19275042860641686</v>
      </c>
      <c r="K7" s="32"/>
    </row>
    <row r="8" spans="1:17" ht="15.5" x14ac:dyDescent="0.4">
      <c r="A8" s="18">
        <v>2001</v>
      </c>
      <c r="B8" s="5">
        <v>125000</v>
      </c>
      <c r="C8" s="5">
        <v>125000</v>
      </c>
      <c r="D8" s="5">
        <v>44120</v>
      </c>
      <c r="E8" s="5">
        <v>1000</v>
      </c>
      <c r="F8" s="5">
        <f t="shared" si="0"/>
        <v>43120</v>
      </c>
      <c r="G8" s="5">
        <v>34800</v>
      </c>
      <c r="H8" s="6">
        <f t="shared" si="1"/>
        <v>0.80705009276437845</v>
      </c>
      <c r="I8" s="5">
        <v>8320</v>
      </c>
      <c r="J8" s="6">
        <f t="shared" si="2"/>
        <v>0.19294990723562153</v>
      </c>
      <c r="K8" s="32"/>
    </row>
    <row r="9" spans="1:17" ht="15.5" x14ac:dyDescent="0.4">
      <c r="A9" s="18">
        <v>2002</v>
      </c>
      <c r="B9" s="5">
        <v>152000</v>
      </c>
      <c r="C9" s="5">
        <v>152000</v>
      </c>
      <c r="D9" s="5">
        <v>56240</v>
      </c>
      <c r="E9" s="5">
        <v>1000</v>
      </c>
      <c r="F9" s="5">
        <f t="shared" si="0"/>
        <v>55240</v>
      </c>
      <c r="G9" s="5">
        <v>44992</v>
      </c>
      <c r="H9" s="6">
        <f t="shared" si="1"/>
        <v>0.81448225923244022</v>
      </c>
      <c r="I9" s="5">
        <v>10248</v>
      </c>
      <c r="J9" s="6">
        <f t="shared" si="2"/>
        <v>0.18551774076755975</v>
      </c>
      <c r="K9" s="32"/>
    </row>
    <row r="10" spans="1:17" ht="15.5" x14ac:dyDescent="0.4">
      <c r="A10" s="18">
        <v>2003</v>
      </c>
      <c r="B10" s="5">
        <v>154000</v>
      </c>
      <c r="C10" s="5">
        <v>154000</v>
      </c>
      <c r="D10" s="5">
        <v>56980</v>
      </c>
      <c r="E10" s="5">
        <v>1000</v>
      </c>
      <c r="F10" s="5">
        <f t="shared" si="0"/>
        <v>55980</v>
      </c>
      <c r="G10" s="5">
        <v>45584</v>
      </c>
      <c r="H10" s="6">
        <f t="shared" si="1"/>
        <v>0.81429081814933901</v>
      </c>
      <c r="I10" s="5">
        <v>10396</v>
      </c>
      <c r="J10" s="6">
        <f t="shared" si="2"/>
        <v>0.18570918185066096</v>
      </c>
      <c r="K10" s="32"/>
    </row>
    <row r="11" spans="1:17" ht="15.5" x14ac:dyDescent="0.4">
      <c r="A11" s="18">
        <v>2004</v>
      </c>
      <c r="B11" s="5">
        <v>154000</v>
      </c>
      <c r="C11" s="5">
        <f>B11</f>
        <v>154000</v>
      </c>
      <c r="D11" s="5">
        <v>56980</v>
      </c>
      <c r="E11" s="5">
        <v>1000</v>
      </c>
      <c r="F11" s="5">
        <f t="shared" si="0"/>
        <v>55980</v>
      </c>
      <c r="G11" s="5">
        <v>45584</v>
      </c>
      <c r="H11" s="6">
        <f t="shared" si="1"/>
        <v>0.81429081814933901</v>
      </c>
      <c r="I11" s="5">
        <v>10396</v>
      </c>
      <c r="J11" s="6">
        <f t="shared" si="2"/>
        <v>0.18570918185066096</v>
      </c>
      <c r="K11" s="32"/>
    </row>
    <row r="12" spans="1:17" ht="15.5" x14ac:dyDescent="0.4">
      <c r="A12" s="18">
        <v>2005</v>
      </c>
      <c r="B12" s="5">
        <v>200000</v>
      </c>
      <c r="C12" s="5">
        <f>B12-250</f>
        <v>199750</v>
      </c>
      <c r="D12" s="5">
        <v>73908</v>
      </c>
      <c r="E12" s="5">
        <v>1500</v>
      </c>
      <c r="F12" s="5">
        <f t="shared" si="0"/>
        <v>72408</v>
      </c>
      <c r="G12" s="5">
        <v>58726</v>
      </c>
      <c r="H12" s="6">
        <f t="shared" si="1"/>
        <v>0.8110429786763893</v>
      </c>
      <c r="I12" s="5">
        <v>13682</v>
      </c>
      <c r="J12" s="6">
        <f t="shared" si="2"/>
        <v>0.18895702132361064</v>
      </c>
      <c r="K12" s="32"/>
    </row>
    <row r="13" spans="1:17" ht="15.5" x14ac:dyDescent="0.4">
      <c r="A13" s="18">
        <v>2006</v>
      </c>
      <c r="B13" s="5">
        <v>175500</v>
      </c>
      <c r="C13" s="5">
        <v>175250</v>
      </c>
      <c r="D13" s="5">
        <v>64843</v>
      </c>
      <c r="E13" s="5">
        <v>1000</v>
      </c>
      <c r="F13" s="5">
        <f t="shared" si="0"/>
        <v>63843</v>
      </c>
      <c r="G13" s="5">
        <v>51874</v>
      </c>
      <c r="H13" s="6">
        <f t="shared" si="1"/>
        <v>0.81252447410052786</v>
      </c>
      <c r="I13" s="5">
        <v>11969</v>
      </c>
      <c r="J13" s="6">
        <f t="shared" si="2"/>
        <v>0.18747552589947214</v>
      </c>
      <c r="K13" s="32"/>
    </row>
    <row r="14" spans="1:17" ht="15.5" x14ac:dyDescent="0.4">
      <c r="A14" s="18">
        <v>2007</v>
      </c>
      <c r="B14" s="5">
        <v>201975</v>
      </c>
      <c r="C14" s="5">
        <v>200925</v>
      </c>
      <c r="D14" s="5">
        <v>74342</v>
      </c>
      <c r="E14" s="5">
        <v>1000</v>
      </c>
      <c r="F14" s="5">
        <f t="shared" si="0"/>
        <v>73342</v>
      </c>
      <c r="G14" s="5">
        <v>59474</v>
      </c>
      <c r="H14" s="6">
        <f t="shared" si="1"/>
        <v>0.81091325570614381</v>
      </c>
      <c r="I14" s="5">
        <v>13868</v>
      </c>
      <c r="J14" s="6">
        <f t="shared" si="2"/>
        <v>0.18908674429385619</v>
      </c>
      <c r="K14" s="32"/>
    </row>
    <row r="15" spans="1:17" ht="15.5" x14ac:dyDescent="0.4">
      <c r="A15" s="18">
        <v>2008</v>
      </c>
      <c r="B15" s="5">
        <v>226150</v>
      </c>
      <c r="C15" s="5">
        <v>225000</v>
      </c>
      <c r="D15" s="5">
        <v>83250</v>
      </c>
      <c r="E15" s="5">
        <v>1000</v>
      </c>
      <c r="F15" s="5">
        <f t="shared" si="0"/>
        <v>82250</v>
      </c>
      <c r="G15" s="5">
        <v>66600</v>
      </c>
      <c r="H15" s="6">
        <f t="shared" si="1"/>
        <v>0.80972644376899694</v>
      </c>
      <c r="I15" s="5">
        <v>15650</v>
      </c>
      <c r="J15" s="6">
        <f t="shared" si="2"/>
        <v>0.19027355623100303</v>
      </c>
      <c r="K15" s="32"/>
    </row>
    <row r="16" spans="1:17" ht="15.5" x14ac:dyDescent="0.4">
      <c r="A16" s="18">
        <v>2009</v>
      </c>
      <c r="B16" s="5">
        <v>204150</v>
      </c>
      <c r="C16" s="5">
        <v>203000</v>
      </c>
      <c r="D16" s="5">
        <v>75110</v>
      </c>
      <c r="E16" s="5">
        <v>1000</v>
      </c>
      <c r="F16" s="5">
        <f t="shared" si="0"/>
        <v>74110</v>
      </c>
      <c r="G16" s="5">
        <v>60088</v>
      </c>
      <c r="H16" s="6">
        <f t="shared" si="1"/>
        <v>0.81079476453919852</v>
      </c>
      <c r="I16" s="5">
        <v>14022</v>
      </c>
      <c r="J16" s="6">
        <f t="shared" si="2"/>
        <v>0.18920523546080151</v>
      </c>
      <c r="K16" s="32"/>
    </row>
    <row r="17" spans="1:11" ht="15.5" x14ac:dyDescent="0.4">
      <c r="A17" s="18">
        <v>2010</v>
      </c>
      <c r="B17" s="5">
        <v>182950</v>
      </c>
      <c r="C17" s="5">
        <v>181000</v>
      </c>
      <c r="D17" s="5">
        <v>66970</v>
      </c>
      <c r="E17" s="5">
        <v>1000</v>
      </c>
      <c r="F17" s="5">
        <f t="shared" si="0"/>
        <v>65970</v>
      </c>
      <c r="G17" s="5">
        <v>53576</v>
      </c>
      <c r="H17" s="6">
        <f>G17/F17</f>
        <v>0.81212672426860699</v>
      </c>
      <c r="I17" s="5">
        <v>12394</v>
      </c>
      <c r="J17" s="6">
        <f t="shared" si="2"/>
        <v>0.18787327573139306</v>
      </c>
      <c r="K17" s="32"/>
    </row>
    <row r="18" spans="1:11" ht="15.5" x14ac:dyDescent="0.4">
      <c r="A18" s="18">
        <v>2011</v>
      </c>
      <c r="B18" s="5">
        <v>151950</v>
      </c>
      <c r="C18" s="5">
        <v>150000</v>
      </c>
      <c r="D18" s="5">
        <v>55500</v>
      </c>
      <c r="E18" s="5">
        <v>1000</v>
      </c>
      <c r="F18" s="5">
        <f t="shared" si="0"/>
        <v>54500</v>
      </c>
      <c r="G18" s="5">
        <v>44400</v>
      </c>
      <c r="H18" s="6">
        <f t="shared" si="1"/>
        <v>0.81467889908256885</v>
      </c>
      <c r="I18" s="5">
        <v>10100</v>
      </c>
      <c r="J18" s="6">
        <f t="shared" si="2"/>
        <v>0.1853211009174312</v>
      </c>
      <c r="K18" s="32"/>
    </row>
    <row r="19" spans="1:11" ht="15.5" x14ac:dyDescent="0.4">
      <c r="A19" s="18">
        <v>2012</v>
      </c>
      <c r="B19" s="5">
        <v>145200</v>
      </c>
      <c r="C19" s="5">
        <v>142000</v>
      </c>
      <c r="D19" s="5">
        <v>52540</v>
      </c>
      <c r="E19" s="5">
        <v>500</v>
      </c>
      <c r="F19" s="5">
        <f t="shared" si="0"/>
        <v>52040</v>
      </c>
      <c r="G19" s="5">
        <v>42032</v>
      </c>
      <c r="H19" s="6">
        <f t="shared" si="1"/>
        <v>0.80768639508070716</v>
      </c>
      <c r="I19" s="5">
        <v>10008</v>
      </c>
      <c r="J19" s="6">
        <f t="shared" si="2"/>
        <v>0.19231360491929286</v>
      </c>
      <c r="K19" s="32"/>
    </row>
    <row r="20" spans="1:11" ht="15.5" x14ac:dyDescent="0.4">
      <c r="A20" s="18">
        <v>2013</v>
      </c>
      <c r="B20" s="5">
        <v>122625</v>
      </c>
      <c r="C20" s="5">
        <v>119000</v>
      </c>
      <c r="D20" s="5">
        <v>44030</v>
      </c>
      <c r="E20" s="5">
        <v>500</v>
      </c>
      <c r="F20" s="5">
        <f>D20-E20</f>
        <v>43530</v>
      </c>
      <c r="G20" s="5">
        <v>35224</v>
      </c>
      <c r="H20" s="6">
        <f t="shared" si="1"/>
        <v>0.80918906501263499</v>
      </c>
      <c r="I20" s="5">
        <v>8306</v>
      </c>
      <c r="J20" s="6">
        <f t="shared" si="2"/>
        <v>0.19081093498736504</v>
      </c>
      <c r="K20" s="32"/>
    </row>
    <row r="21" spans="1:11" ht="15.5" x14ac:dyDescent="0.4">
      <c r="A21" s="18">
        <v>2014</v>
      </c>
      <c r="B21" s="5">
        <v>103450</v>
      </c>
      <c r="C21" s="5">
        <v>100937</v>
      </c>
      <c r="D21" s="5">
        <v>37000</v>
      </c>
      <c r="E21" s="5">
        <v>500</v>
      </c>
      <c r="F21" s="5">
        <f t="shared" si="0"/>
        <v>36500</v>
      </c>
      <c r="G21" s="5">
        <v>29600</v>
      </c>
      <c r="H21" s="6">
        <f t="shared" si="1"/>
        <v>0.81095890410958904</v>
      </c>
      <c r="I21" s="5">
        <v>6900</v>
      </c>
      <c r="J21" s="6">
        <f t="shared" si="2"/>
        <v>0.18904109589041096</v>
      </c>
      <c r="K21" s="32"/>
    </row>
    <row r="22" spans="1:11" ht="15.5" x14ac:dyDescent="0.4">
      <c r="A22" s="18">
        <v>2015</v>
      </c>
      <c r="B22" s="5">
        <v>105950</v>
      </c>
      <c r="C22" s="5">
        <v>103440</v>
      </c>
      <c r="D22" s="5">
        <v>38273</v>
      </c>
      <c r="E22" s="5">
        <v>500</v>
      </c>
      <c r="F22" s="5">
        <f t="shared" si="0"/>
        <v>37773</v>
      </c>
      <c r="G22" s="5">
        <v>30618</v>
      </c>
      <c r="H22" s="6">
        <f t="shared" si="1"/>
        <v>0.81057898498927805</v>
      </c>
      <c r="I22" s="5">
        <v>7155</v>
      </c>
      <c r="J22" s="6">
        <f t="shared" si="2"/>
        <v>0.18942101501072195</v>
      </c>
      <c r="K22" s="32"/>
    </row>
    <row r="23" spans="1:11" ht="15.5" x14ac:dyDescent="0.4">
      <c r="A23" s="18">
        <v>2016</v>
      </c>
      <c r="B23" s="5">
        <v>123950</v>
      </c>
      <c r="C23" s="5">
        <v>121350</v>
      </c>
      <c r="D23" s="5">
        <v>44900</v>
      </c>
      <c r="E23" s="5">
        <v>500</v>
      </c>
      <c r="F23" s="5">
        <f t="shared" si="0"/>
        <v>44400</v>
      </c>
      <c r="G23" s="5">
        <v>35920</v>
      </c>
      <c r="H23" s="6">
        <f t="shared" si="1"/>
        <v>0.80900900900900896</v>
      </c>
      <c r="I23" s="5">
        <v>8480</v>
      </c>
      <c r="J23" s="6">
        <f t="shared" si="2"/>
        <v>0.19099099099099098</v>
      </c>
      <c r="K23" s="32"/>
    </row>
    <row r="24" spans="1:11" ht="15.5" x14ac:dyDescent="0.4">
      <c r="A24" s="18">
        <v>2017</v>
      </c>
      <c r="B24" s="5">
        <v>134450</v>
      </c>
      <c r="C24" s="5">
        <v>131236</v>
      </c>
      <c r="D24" s="5">
        <v>48557</v>
      </c>
      <c r="E24" s="5">
        <v>500</v>
      </c>
      <c r="F24" s="5">
        <f t="shared" si="0"/>
        <v>48057</v>
      </c>
      <c r="G24" s="5">
        <v>38846</v>
      </c>
      <c r="H24" s="6">
        <f t="shared" si="1"/>
        <v>0.80833177268660128</v>
      </c>
      <c r="I24" s="5">
        <v>9211</v>
      </c>
      <c r="J24" s="6">
        <f t="shared" si="2"/>
        <v>0.19166822731339866</v>
      </c>
      <c r="K24" s="32"/>
    </row>
    <row r="25" spans="1:11" ht="15.5" x14ac:dyDescent="0.4">
      <c r="A25" s="18">
        <v>2018</v>
      </c>
      <c r="B25" s="5">
        <v>156950</v>
      </c>
      <c r="C25" s="5">
        <v>153562</v>
      </c>
      <c r="D25" s="5">
        <v>56818</v>
      </c>
      <c r="E25" s="5">
        <v>500</v>
      </c>
      <c r="F25" s="5">
        <f t="shared" si="0"/>
        <v>56318</v>
      </c>
      <c r="G25" s="5">
        <v>45454</v>
      </c>
      <c r="H25" s="6">
        <f t="shared" si="1"/>
        <v>0.80709542242267129</v>
      </c>
      <c r="I25" s="5">
        <v>10864</v>
      </c>
      <c r="J25" s="6">
        <f t="shared" si="2"/>
        <v>0.19290457757732873</v>
      </c>
      <c r="K25" s="32"/>
    </row>
    <row r="26" spans="1:11" ht="15.5" x14ac:dyDescent="0.4">
      <c r="A26" s="18">
        <v>2019</v>
      </c>
      <c r="B26" s="5">
        <v>134000</v>
      </c>
      <c r="C26" s="5">
        <v>130118</v>
      </c>
      <c r="D26" s="5">
        <v>49144</v>
      </c>
      <c r="E26" s="5">
        <v>500</v>
      </c>
      <c r="F26" s="5">
        <f t="shared" si="0"/>
        <v>48644</v>
      </c>
      <c r="G26" s="5">
        <v>39515</v>
      </c>
      <c r="H26" s="6">
        <f t="shared" si="1"/>
        <v>0.81233040046048843</v>
      </c>
      <c r="I26" s="5">
        <v>9129</v>
      </c>
      <c r="J26" s="6">
        <f t="shared" si="2"/>
        <v>0.18766959953951157</v>
      </c>
      <c r="K26" s="32"/>
    </row>
    <row r="27" spans="1:11" ht="15.5" x14ac:dyDescent="0.4">
      <c r="A27" s="18">
        <v>2020</v>
      </c>
      <c r="B27" s="5">
        <v>156482</v>
      </c>
      <c r="C27" s="5">
        <v>152621</v>
      </c>
      <c r="D27" s="5">
        <v>56470</v>
      </c>
      <c r="E27" s="5">
        <v>500</v>
      </c>
      <c r="F27" s="5">
        <f t="shared" si="0"/>
        <v>55970</v>
      </c>
      <c r="G27" s="5">
        <v>45176</v>
      </c>
      <c r="H27" s="6">
        <f t="shared" si="1"/>
        <v>0.80714668572449522</v>
      </c>
      <c r="I27" s="5">
        <v>10794</v>
      </c>
      <c r="J27" s="6">
        <f t="shared" si="2"/>
        <v>0.19285331427550473</v>
      </c>
      <c r="K27" s="32"/>
    </row>
    <row r="28" spans="1:11" ht="15.5" x14ac:dyDescent="0.4">
      <c r="A28" s="18">
        <v>2021</v>
      </c>
      <c r="B28" s="5">
        <v>182404</v>
      </c>
      <c r="C28" s="5">
        <v>178686</v>
      </c>
      <c r="D28" s="5">
        <f>G28+I28+E28</f>
        <v>66114</v>
      </c>
      <c r="E28" s="5">
        <v>500</v>
      </c>
      <c r="F28" s="5">
        <f t="shared" si="0"/>
        <v>65614</v>
      </c>
      <c r="G28" s="5">
        <v>52891</v>
      </c>
      <c r="H28" s="6">
        <f t="shared" si="1"/>
        <v>0.80609321181455174</v>
      </c>
      <c r="I28" s="5">
        <v>12723</v>
      </c>
      <c r="J28" s="6">
        <f t="shared" si="2"/>
        <v>0.19390678818544824</v>
      </c>
      <c r="K28" s="32"/>
    </row>
    <row r="29" spans="1:11" ht="16" x14ac:dyDescent="0.4">
      <c r="A29" s="34" t="s">
        <v>26</v>
      </c>
      <c r="B29" s="35"/>
      <c r="C29" s="31"/>
      <c r="D29" s="31"/>
      <c r="E29" s="31"/>
      <c r="F29" s="31"/>
      <c r="G29" s="31"/>
      <c r="H29" s="31"/>
      <c r="I29" s="31"/>
      <c r="J29" s="31"/>
      <c r="K29" s="32"/>
    </row>
    <row r="30" spans="1:11" s="1" customFormat="1" ht="15.5" x14ac:dyDescent="0.4">
      <c r="A30" s="34" t="s">
        <v>64</v>
      </c>
      <c r="B30" s="3"/>
      <c r="C30" s="3"/>
      <c r="D30" s="22"/>
      <c r="E30" s="19"/>
      <c r="F30" s="22"/>
      <c r="G30" s="3"/>
      <c r="H30" s="3"/>
      <c r="I30" s="3"/>
      <c r="J30" s="3"/>
      <c r="K30" s="19"/>
    </row>
    <row r="31" spans="1:11" s="1" customFormat="1" ht="15.5" x14ac:dyDescent="0.4">
      <c r="A31" s="34" t="s">
        <v>63</v>
      </c>
      <c r="B31" s="3"/>
      <c r="C31" s="3"/>
      <c r="D31" s="3"/>
      <c r="E31" s="3"/>
      <c r="F31" s="3"/>
      <c r="G31" s="3"/>
      <c r="H31" s="3"/>
      <c r="I31" s="3"/>
      <c r="J31" s="3"/>
      <c r="K31" s="19"/>
    </row>
    <row r="32" spans="1:11" s="1" customFormat="1" ht="19.5" customHeight="1" x14ac:dyDescent="0.4">
      <c r="A32" s="83" t="s">
        <v>83</v>
      </c>
      <c r="B32" s="3"/>
      <c r="C32" s="3"/>
      <c r="D32" s="3"/>
      <c r="E32" s="3"/>
      <c r="F32" s="3"/>
      <c r="G32" s="3"/>
      <c r="H32" s="3"/>
      <c r="I32" s="3"/>
      <c r="J32" s="3"/>
      <c r="K32" s="19"/>
    </row>
    <row r="33" spans="1:11" ht="17" x14ac:dyDescent="0.45">
      <c r="A33" s="21" t="s">
        <v>16</v>
      </c>
      <c r="B33" s="13"/>
      <c r="C33" s="21"/>
      <c r="D33" s="21"/>
      <c r="E33" s="31"/>
      <c r="F33" s="31"/>
      <c r="G33" s="31"/>
      <c r="H33" s="31"/>
      <c r="I33" s="31"/>
      <c r="J33" s="31"/>
      <c r="K33" s="32"/>
    </row>
    <row r="34" spans="1:11" ht="15.5" x14ac:dyDescent="0.4">
      <c r="A34" s="23" t="s">
        <v>6</v>
      </c>
      <c r="B34" s="5">
        <f>AVERAGE(B19:B28)</f>
        <v>136546.1</v>
      </c>
      <c r="C34" s="5">
        <f>AVERAGE(C19:C28)</f>
        <v>133295</v>
      </c>
      <c r="D34" s="5">
        <f>AVERAGE(D19:D28)</f>
        <v>49384.6</v>
      </c>
      <c r="E34" s="5">
        <f t="shared" ref="E34:J34" si="3">AVERAGE(E19:E28)</f>
        <v>500</v>
      </c>
      <c r="F34" s="5">
        <f>AVERAGE(F19:F28)</f>
        <v>48884.6</v>
      </c>
      <c r="G34" s="5">
        <f t="shared" si="3"/>
        <v>39527.599999999999</v>
      </c>
      <c r="H34" s="12">
        <f>AVERAGE(H19:H28)</f>
        <v>0.80884198513100247</v>
      </c>
      <c r="I34" s="5">
        <f t="shared" si="3"/>
        <v>9357</v>
      </c>
      <c r="J34" s="12">
        <f t="shared" si="3"/>
        <v>0.19115801486899736</v>
      </c>
      <c r="K34" s="24" t="s">
        <v>3</v>
      </c>
    </row>
    <row r="35" spans="1:11" ht="15.5" x14ac:dyDescent="0.4">
      <c r="A35" s="23" t="s">
        <v>7</v>
      </c>
      <c r="B35" s="5">
        <f>AVERAGE(B14:B28)</f>
        <v>155509.06666666668</v>
      </c>
      <c r="C35" s="5">
        <f t="shared" ref="C35:J35" si="4">AVERAGE(C14:C28)</f>
        <v>152858.33333333334</v>
      </c>
      <c r="D35" s="5">
        <f>AVERAGE(D14:D28)</f>
        <v>56601.2</v>
      </c>
      <c r="E35" s="5">
        <f t="shared" si="4"/>
        <v>666.66666666666663</v>
      </c>
      <c r="F35" s="5">
        <f t="shared" si="4"/>
        <v>55934.533333333333</v>
      </c>
      <c r="G35" s="5">
        <f t="shared" si="4"/>
        <v>45294.26666666667</v>
      </c>
      <c r="H35" s="12">
        <f t="shared" si="4"/>
        <v>0.80977732924503631</v>
      </c>
      <c r="I35" s="5">
        <f t="shared" si="4"/>
        <v>10640.266666666666</v>
      </c>
      <c r="J35" s="12">
        <f t="shared" si="4"/>
        <v>0.19022267075496388</v>
      </c>
      <c r="K35" s="24" t="s">
        <v>4</v>
      </c>
    </row>
    <row r="36" spans="1:11" ht="15.5" x14ac:dyDescent="0.4">
      <c r="A36" s="23" t="s">
        <v>8</v>
      </c>
      <c r="B36" s="5">
        <f>AVERAGE(B9:B28)</f>
        <v>158406.79999999999</v>
      </c>
      <c r="C36" s="5">
        <f t="shared" ref="C36" si="5">AVERAGE(C15:C29)</f>
        <v>149425</v>
      </c>
      <c r="D36" s="5">
        <f>AVERAGE(D9:D28)</f>
        <v>57898.45</v>
      </c>
      <c r="E36" s="5">
        <f t="shared" ref="E36:J36" si="6">AVERAGE(E9:E28)</f>
        <v>775</v>
      </c>
      <c r="F36" s="5">
        <f t="shared" si="6"/>
        <v>57123.45</v>
      </c>
      <c r="G36" s="5">
        <f t="shared" si="6"/>
        <v>46308.7</v>
      </c>
      <c r="H36" s="12">
        <f t="shared" si="6"/>
        <v>0.81066456434917866</v>
      </c>
      <c r="I36" s="5">
        <f t="shared" si="6"/>
        <v>10814.75</v>
      </c>
      <c r="J36" s="12">
        <f t="shared" si="6"/>
        <v>0.18933543565082112</v>
      </c>
      <c r="K36" s="24" t="s">
        <v>5</v>
      </c>
    </row>
    <row r="37" spans="1:11" ht="16" thickBot="1" x14ac:dyDescent="0.45">
      <c r="A37" s="25" t="s">
        <v>10</v>
      </c>
      <c r="B37" s="26">
        <f>AVERAGE(B3:B28)</f>
        <v>152428.30769230769</v>
      </c>
      <c r="C37" s="26">
        <f t="shared" ref="C37" si="7">AVERAGE(C16:C30)</f>
        <v>143611.53846153847</v>
      </c>
      <c r="D37" s="26">
        <f t="shared" ref="D37:J37" si="8">AVERAGE(D3:D28)</f>
        <v>55446.423076923078</v>
      </c>
      <c r="E37" s="26">
        <f t="shared" si="8"/>
        <v>795.4545454545455</v>
      </c>
      <c r="F37" s="26">
        <f t="shared" si="8"/>
        <v>54773.346153846156</v>
      </c>
      <c r="G37" s="26">
        <f t="shared" si="8"/>
        <v>44310.923076923078</v>
      </c>
      <c r="H37" s="27">
        <f t="shared" si="8"/>
        <v>0.80875318116060357</v>
      </c>
      <c r="I37" s="26">
        <f t="shared" si="8"/>
        <v>10462.423076923076</v>
      </c>
      <c r="J37" s="27">
        <f t="shared" si="8"/>
        <v>0.19124681883939626</v>
      </c>
      <c r="K37" s="28" t="s">
        <v>11</v>
      </c>
    </row>
  </sheetData>
  <mergeCells count="1">
    <mergeCell ref="O1:P1"/>
  </mergeCells>
  <pageMargins left="0.11811023622047245" right="0" top="0.19685039370078741" bottom="0" header="0" footer="0"/>
  <pageSetup paperSize="9" scale="8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6"/>
  <sheetViews>
    <sheetView workbookViewId="0">
      <pane ySplit="2" topLeftCell="A3" activePane="bottomLeft" state="frozen"/>
      <selection pane="bottomLeft" activeCell="M36" sqref="A1:M36"/>
    </sheetView>
  </sheetViews>
  <sheetFormatPr baseColWidth="10" defaultRowHeight="14.5" x14ac:dyDescent="0.35"/>
  <cols>
    <col min="1" max="1" width="5.453125" customWidth="1"/>
    <col min="2" max="2" width="9" customWidth="1"/>
    <col min="3" max="3" width="11.7265625" customWidth="1"/>
    <col min="4" max="4" width="7.453125" customWidth="1"/>
    <col min="5" max="5" width="10.453125" customWidth="1"/>
    <col min="6" max="6" width="11.54296875" customWidth="1"/>
    <col min="7" max="7" width="12.7265625" bestFit="1" customWidth="1"/>
    <col min="8" max="8" width="9.26953125" customWidth="1"/>
    <col min="9" max="9" width="7.453125" customWidth="1"/>
    <col min="10" max="10" width="10.7265625" bestFit="1" customWidth="1"/>
    <col min="11" max="11" width="12.26953125" customWidth="1"/>
    <col min="12" max="12" width="11.1796875" customWidth="1"/>
    <col min="13" max="13" width="6.54296875" customWidth="1"/>
    <col min="14" max="14" width="0.54296875" customWidth="1"/>
    <col min="15" max="15" width="15.26953125" customWidth="1"/>
    <col min="16" max="16" width="8.453125" customWidth="1"/>
    <col min="17" max="17" width="12.54296875" customWidth="1"/>
    <col min="18" max="18" width="11.7265625" customWidth="1"/>
  </cols>
  <sheetData>
    <row r="1" spans="1:23" ht="22.5" thickBot="1" x14ac:dyDescent="0.65">
      <c r="A1" s="38" t="s">
        <v>81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0"/>
      <c r="Q1" s="88" t="s">
        <v>66</v>
      </c>
      <c r="R1" s="88"/>
    </row>
    <row r="2" spans="1:23" ht="68" x14ac:dyDescent="0.35">
      <c r="A2" s="81" t="s">
        <v>0</v>
      </c>
      <c r="B2" s="82" t="s">
        <v>54</v>
      </c>
      <c r="C2" s="82" t="s">
        <v>55</v>
      </c>
      <c r="D2" s="82" t="s">
        <v>56</v>
      </c>
      <c r="E2" s="82" t="s">
        <v>30</v>
      </c>
      <c r="F2" s="82" t="s">
        <v>77</v>
      </c>
      <c r="G2" s="82" t="s">
        <v>57</v>
      </c>
      <c r="H2" s="82" t="s">
        <v>24</v>
      </c>
      <c r="I2" s="82" t="s">
        <v>27</v>
      </c>
      <c r="J2" s="82" t="s">
        <v>31</v>
      </c>
      <c r="K2" s="82" t="s">
        <v>21</v>
      </c>
      <c r="L2" s="82" t="s">
        <v>28</v>
      </c>
      <c r="M2" s="32"/>
      <c r="O2" s="48" t="s">
        <v>51</v>
      </c>
      <c r="P2" s="49" t="s">
        <v>34</v>
      </c>
      <c r="Q2" s="49" t="s">
        <v>52</v>
      </c>
      <c r="R2" s="50" t="s">
        <v>53</v>
      </c>
    </row>
    <row r="3" spans="1:23" ht="17" x14ac:dyDescent="0.4">
      <c r="A3" s="75">
        <v>1996</v>
      </c>
      <c r="B3" s="9">
        <v>52720</v>
      </c>
      <c r="C3" s="9"/>
      <c r="D3" s="9">
        <v>8000</v>
      </c>
      <c r="E3" s="9"/>
      <c r="F3" s="9">
        <f>36720</f>
        <v>36720</v>
      </c>
      <c r="G3" s="42"/>
      <c r="H3" s="42"/>
      <c r="I3" s="42"/>
      <c r="J3" s="42"/>
      <c r="K3" s="43"/>
      <c r="L3" s="43"/>
      <c r="M3" s="32"/>
      <c r="O3" s="51" t="s">
        <v>6</v>
      </c>
      <c r="P3" s="39" t="s">
        <v>3</v>
      </c>
      <c r="Q3" s="40">
        <v>0.79349999999999998</v>
      </c>
      <c r="R3" s="52">
        <v>0.20649999999999999</v>
      </c>
      <c r="S3" s="41"/>
    </row>
    <row r="4" spans="1:23" ht="17" x14ac:dyDescent="0.4">
      <c r="A4" s="75">
        <v>1997</v>
      </c>
      <c r="B4" s="9">
        <v>54800</v>
      </c>
      <c r="C4" s="9"/>
      <c r="D4" s="9">
        <v>16000</v>
      </c>
      <c r="E4" s="9"/>
      <c r="F4" s="9">
        <f t="shared" ref="F4:F12" si="0">B4-D4-E4</f>
        <v>38800</v>
      </c>
      <c r="G4" s="42"/>
      <c r="H4" s="42"/>
      <c r="I4" s="42"/>
      <c r="J4" s="42"/>
      <c r="K4" s="43"/>
      <c r="L4" s="43"/>
      <c r="M4" s="32"/>
      <c r="O4" s="51" t="s">
        <v>7</v>
      </c>
      <c r="P4" s="39" t="s">
        <v>4</v>
      </c>
      <c r="Q4" s="40">
        <v>0.79349999999999998</v>
      </c>
      <c r="R4" s="52">
        <v>0.20649999999999999</v>
      </c>
      <c r="S4" s="41"/>
    </row>
    <row r="5" spans="1:23" ht="18.75" customHeight="1" x14ac:dyDescent="0.4">
      <c r="A5" s="75">
        <v>1998</v>
      </c>
      <c r="B5" s="9">
        <v>45440</v>
      </c>
      <c r="C5" s="9"/>
      <c r="D5" s="9">
        <v>16000</v>
      </c>
      <c r="E5" s="9"/>
      <c r="F5" s="9">
        <f>B5-D5-E5</f>
        <v>29440</v>
      </c>
      <c r="G5" s="42"/>
      <c r="H5" s="42"/>
      <c r="I5" s="42"/>
      <c r="J5" s="42"/>
      <c r="K5" s="43"/>
      <c r="L5" s="43"/>
      <c r="M5" s="32"/>
      <c r="O5" s="67" t="s">
        <v>8</v>
      </c>
      <c r="P5" s="68" t="s">
        <v>5</v>
      </c>
      <c r="Q5" s="69">
        <v>0.79349999999999998</v>
      </c>
      <c r="R5" s="70">
        <v>0.20649999999999999</v>
      </c>
      <c r="S5" s="41"/>
    </row>
    <row r="6" spans="1:23" ht="17.5" thickBot="1" x14ac:dyDescent="0.45">
      <c r="A6" s="75">
        <v>1999</v>
      </c>
      <c r="B6" s="9">
        <v>52200</v>
      </c>
      <c r="C6" s="9"/>
      <c r="D6" s="9">
        <v>16000</v>
      </c>
      <c r="E6" s="9"/>
      <c r="F6" s="9">
        <f t="shared" si="0"/>
        <v>36200</v>
      </c>
      <c r="G6" s="42"/>
      <c r="H6" s="42"/>
      <c r="I6" s="42"/>
      <c r="J6" s="42"/>
      <c r="K6" s="43"/>
      <c r="L6" s="43"/>
      <c r="M6" s="32"/>
      <c r="O6" s="53" t="s">
        <v>78</v>
      </c>
      <c r="P6" s="54" t="s">
        <v>79</v>
      </c>
      <c r="Q6" s="55">
        <v>0.79330000000000001</v>
      </c>
      <c r="R6" s="56">
        <v>0.20669999999999999</v>
      </c>
      <c r="S6" s="41"/>
    </row>
    <row r="7" spans="1:23" s="77" customFormat="1" ht="15.5" x14ac:dyDescent="0.4">
      <c r="A7" s="75">
        <v>2000</v>
      </c>
      <c r="B7" s="9">
        <v>40000</v>
      </c>
      <c r="C7" s="9"/>
      <c r="D7" s="9">
        <v>16000</v>
      </c>
      <c r="E7" s="9"/>
      <c r="F7" s="9">
        <f t="shared" si="0"/>
        <v>24000</v>
      </c>
      <c r="G7" s="9"/>
      <c r="H7" s="9"/>
      <c r="I7" s="9"/>
      <c r="J7" s="9"/>
      <c r="K7" s="10"/>
      <c r="L7" s="10"/>
      <c r="M7" s="76"/>
    </row>
    <row r="8" spans="1:23" s="77" customFormat="1" ht="15.5" x14ac:dyDescent="0.4">
      <c r="A8" s="75">
        <v>2001</v>
      </c>
      <c r="B8" s="9">
        <v>41000</v>
      </c>
      <c r="C8" s="9"/>
      <c r="D8" s="9">
        <v>15000</v>
      </c>
      <c r="E8" s="9">
        <v>5000</v>
      </c>
      <c r="F8" s="9">
        <f t="shared" si="0"/>
        <v>21000</v>
      </c>
      <c r="G8" s="9">
        <f t="shared" ref="G8:G28" si="1">0.08*F8</f>
        <v>1680</v>
      </c>
      <c r="H8" s="9">
        <v>15640</v>
      </c>
      <c r="I8" s="9">
        <v>4140</v>
      </c>
      <c r="J8" s="9">
        <f t="shared" ref="J8:J28" si="2">SUM(H8:I8)</f>
        <v>19780</v>
      </c>
      <c r="K8" s="10">
        <f>H8/J8</f>
        <v>0.79069767441860461</v>
      </c>
      <c r="L8" s="10">
        <f>I8/J8</f>
        <v>0.20930232558139536</v>
      </c>
      <c r="M8" s="78"/>
    </row>
    <row r="9" spans="1:23" s="77" customFormat="1" ht="15.5" x14ac:dyDescent="0.4">
      <c r="A9" s="75">
        <v>2002</v>
      </c>
      <c r="B9" s="9">
        <v>66000</v>
      </c>
      <c r="C9" s="9"/>
      <c r="D9" s="9">
        <v>13500</v>
      </c>
      <c r="E9" s="9">
        <v>5000</v>
      </c>
      <c r="F9" s="9">
        <f>B9-D9-E9</f>
        <v>47500</v>
      </c>
      <c r="G9" s="9">
        <f>0.08*F9</f>
        <v>3800</v>
      </c>
      <c r="H9" s="9">
        <v>34675</v>
      </c>
      <c r="I9" s="9">
        <v>9025</v>
      </c>
      <c r="J9" s="9">
        <f t="shared" si="2"/>
        <v>43700</v>
      </c>
      <c r="K9" s="10">
        <f t="shared" ref="K9:K28" si="3">H9/J9</f>
        <v>0.79347826086956519</v>
      </c>
      <c r="L9" s="10">
        <f t="shared" ref="L9:L28" si="4">I9/J9</f>
        <v>0.20652173913043478</v>
      </c>
      <c r="M9" s="78"/>
    </row>
    <row r="10" spans="1:23" s="77" customFormat="1" ht="15.5" x14ac:dyDescent="0.4">
      <c r="A10" s="75">
        <v>2003</v>
      </c>
      <c r="B10" s="9">
        <v>80800</v>
      </c>
      <c r="C10" s="9"/>
      <c r="D10" s="9">
        <v>13500</v>
      </c>
      <c r="E10" s="9">
        <v>5000</v>
      </c>
      <c r="F10" s="9">
        <f t="shared" si="0"/>
        <v>62300</v>
      </c>
      <c r="G10" s="9">
        <f>0.08*F10</f>
        <v>4984</v>
      </c>
      <c r="H10" s="9">
        <v>45479</v>
      </c>
      <c r="I10" s="9">
        <v>11837</v>
      </c>
      <c r="J10" s="9">
        <f>SUM(H10:I10)</f>
        <v>57316</v>
      </c>
      <c r="K10" s="10">
        <f>H10/J10</f>
        <v>0.79347826086956519</v>
      </c>
      <c r="L10" s="10">
        <f t="shared" si="4"/>
        <v>0.20652173913043478</v>
      </c>
      <c r="M10" s="78"/>
    </row>
    <row r="11" spans="1:23" s="77" customFormat="1" ht="15.5" x14ac:dyDescent="0.4">
      <c r="A11" s="75">
        <v>2004</v>
      </c>
      <c r="B11" s="9">
        <v>93800</v>
      </c>
      <c r="C11" s="9"/>
      <c r="D11" s="9">
        <v>13500</v>
      </c>
      <c r="E11" s="9">
        <v>5000</v>
      </c>
      <c r="F11" s="9">
        <f t="shared" si="0"/>
        <v>75300</v>
      </c>
      <c r="G11" s="9">
        <f t="shared" si="1"/>
        <v>6024</v>
      </c>
      <c r="H11" s="9">
        <v>54969</v>
      </c>
      <c r="I11" s="9">
        <v>14307</v>
      </c>
      <c r="J11" s="9">
        <f t="shared" si="2"/>
        <v>69276</v>
      </c>
      <c r="K11" s="10">
        <f t="shared" si="3"/>
        <v>0.79347826086956519</v>
      </c>
      <c r="L11" s="10">
        <f t="shared" si="4"/>
        <v>0.20652173913043478</v>
      </c>
      <c r="M11" s="78"/>
      <c r="P11"/>
      <c r="Q11"/>
      <c r="R11"/>
      <c r="S11"/>
      <c r="T11"/>
      <c r="U11"/>
      <c r="V11"/>
      <c r="W11"/>
    </row>
    <row r="12" spans="1:23" s="77" customFormat="1" ht="15.5" x14ac:dyDescent="0.4">
      <c r="A12" s="75">
        <v>2005</v>
      </c>
      <c r="B12" s="9">
        <v>72400</v>
      </c>
      <c r="C12" s="9"/>
      <c r="D12" s="9">
        <v>13500</v>
      </c>
      <c r="E12" s="9">
        <v>5000</v>
      </c>
      <c r="F12" s="9">
        <f t="shared" si="0"/>
        <v>53900</v>
      </c>
      <c r="G12" s="9">
        <f t="shared" si="1"/>
        <v>4312</v>
      </c>
      <c r="H12" s="9">
        <v>39347</v>
      </c>
      <c r="I12" s="9">
        <v>10241</v>
      </c>
      <c r="J12" s="9">
        <f>SUM(H12:I12)</f>
        <v>49588</v>
      </c>
      <c r="K12" s="10">
        <f t="shared" si="3"/>
        <v>0.79347826086956519</v>
      </c>
      <c r="L12" s="10">
        <f t="shared" si="4"/>
        <v>0.20652173913043478</v>
      </c>
      <c r="M12" s="78"/>
    </row>
    <row r="13" spans="1:23" s="77" customFormat="1" ht="15.5" x14ac:dyDescent="0.4">
      <c r="A13" s="75">
        <v>2006</v>
      </c>
      <c r="B13" s="9">
        <v>61090</v>
      </c>
      <c r="C13" s="9"/>
      <c r="D13" s="9">
        <v>13500</v>
      </c>
      <c r="E13" s="9">
        <v>5000</v>
      </c>
      <c r="F13" s="9">
        <f>B13-D13-E13</f>
        <v>42590</v>
      </c>
      <c r="G13" s="9">
        <f t="shared" si="1"/>
        <v>3407.2000000000003</v>
      </c>
      <c r="H13" s="9">
        <v>31091</v>
      </c>
      <c r="I13" s="9">
        <v>8092</v>
      </c>
      <c r="J13" s="9">
        <f t="shared" si="2"/>
        <v>39183</v>
      </c>
      <c r="K13" s="10">
        <f t="shared" si="3"/>
        <v>0.79348186713625812</v>
      </c>
      <c r="L13" s="10">
        <f t="shared" si="4"/>
        <v>0.20651813286374193</v>
      </c>
      <c r="M13" s="78"/>
    </row>
    <row r="14" spans="1:23" ht="15.5" x14ac:dyDescent="0.4">
      <c r="A14" s="18">
        <v>2007</v>
      </c>
      <c r="B14" s="5">
        <v>61685</v>
      </c>
      <c r="C14" s="5">
        <v>61335</v>
      </c>
      <c r="D14" s="5">
        <v>13500</v>
      </c>
      <c r="E14" s="5">
        <v>5000</v>
      </c>
      <c r="F14" s="5">
        <f>C14-D14-E14</f>
        <v>42835</v>
      </c>
      <c r="G14" s="5">
        <f t="shared" si="1"/>
        <v>3426.8</v>
      </c>
      <c r="H14" s="5">
        <v>31269</v>
      </c>
      <c r="I14" s="5">
        <v>8139</v>
      </c>
      <c r="J14" s="5">
        <f t="shared" si="2"/>
        <v>39408</v>
      </c>
      <c r="K14" s="6">
        <f t="shared" si="3"/>
        <v>0.79346833130328864</v>
      </c>
      <c r="L14" s="6">
        <f t="shared" si="4"/>
        <v>0.20653166869671133</v>
      </c>
      <c r="M14" s="33"/>
    </row>
    <row r="15" spans="1:23" ht="15.5" x14ac:dyDescent="0.4">
      <c r="A15" s="36">
        <v>2008</v>
      </c>
      <c r="B15" s="7">
        <f>70668-2292</f>
        <v>68376</v>
      </c>
      <c r="C15" s="7">
        <f>B15-250</f>
        <v>68126</v>
      </c>
      <c r="D15" s="7">
        <v>13500</v>
      </c>
      <c r="E15" s="7">
        <v>5000</v>
      </c>
      <c r="F15" s="7">
        <f t="shared" ref="F15:F28" si="5">C15-D15-E15</f>
        <v>49626</v>
      </c>
      <c r="G15" s="7">
        <f t="shared" si="1"/>
        <v>3970.08</v>
      </c>
      <c r="H15" s="7">
        <v>36227</v>
      </c>
      <c r="I15" s="7">
        <v>9429</v>
      </c>
      <c r="J15" s="5">
        <f t="shared" si="2"/>
        <v>45656</v>
      </c>
      <c r="K15" s="6">
        <f t="shared" si="3"/>
        <v>0.79347730856842469</v>
      </c>
      <c r="L15" s="6">
        <f t="shared" si="4"/>
        <v>0.20652269143157526</v>
      </c>
      <c r="M15" s="33"/>
    </row>
    <row r="16" spans="1:23" ht="15.5" x14ac:dyDescent="0.4">
      <c r="A16" s="36">
        <v>2009</v>
      </c>
      <c r="B16" s="7">
        <v>63186</v>
      </c>
      <c r="C16" s="7">
        <v>62936</v>
      </c>
      <c r="D16" s="7">
        <v>13500</v>
      </c>
      <c r="E16" s="7">
        <v>5000</v>
      </c>
      <c r="F16" s="7">
        <f t="shared" si="5"/>
        <v>44436</v>
      </c>
      <c r="G16" s="7">
        <f t="shared" si="1"/>
        <v>3554.88</v>
      </c>
      <c r="H16" s="7">
        <v>32438</v>
      </c>
      <c r="I16" s="7">
        <v>8443</v>
      </c>
      <c r="J16" s="5">
        <f t="shared" si="2"/>
        <v>40881</v>
      </c>
      <c r="K16" s="6">
        <f t="shared" si="3"/>
        <v>0.79347374085761113</v>
      </c>
      <c r="L16" s="6">
        <f t="shared" si="4"/>
        <v>0.2065262591423889</v>
      </c>
      <c r="M16" s="33"/>
    </row>
    <row r="17" spans="1:13" ht="15.5" x14ac:dyDescent="0.4">
      <c r="A17" s="36">
        <v>2010</v>
      </c>
      <c r="B17" s="7">
        <v>56563</v>
      </c>
      <c r="C17" s="7">
        <v>56313</v>
      </c>
      <c r="D17" s="7">
        <v>13500</v>
      </c>
      <c r="E17" s="7">
        <v>5000</v>
      </c>
      <c r="F17" s="7">
        <f t="shared" si="5"/>
        <v>37813</v>
      </c>
      <c r="G17" s="7">
        <f t="shared" si="1"/>
        <v>3025.04</v>
      </c>
      <c r="H17" s="7">
        <v>27603</v>
      </c>
      <c r="I17" s="7">
        <v>7184</v>
      </c>
      <c r="J17" s="5">
        <f t="shared" si="2"/>
        <v>34787</v>
      </c>
      <c r="K17" s="6">
        <f t="shared" si="3"/>
        <v>0.79348607238336155</v>
      </c>
      <c r="L17" s="6">
        <f t="shared" si="4"/>
        <v>0.20651392761663839</v>
      </c>
      <c r="M17" s="33"/>
    </row>
    <row r="18" spans="1:13" ht="15.5" x14ac:dyDescent="0.4">
      <c r="A18" s="36">
        <v>2011</v>
      </c>
      <c r="B18" s="7">
        <v>48596</v>
      </c>
      <c r="C18" s="7">
        <v>48346</v>
      </c>
      <c r="D18" s="7">
        <v>13500</v>
      </c>
      <c r="E18" s="7">
        <v>5000</v>
      </c>
      <c r="F18" s="7">
        <f t="shared" si="5"/>
        <v>29846</v>
      </c>
      <c r="G18" s="7">
        <f t="shared" si="1"/>
        <v>2387.6799999999998</v>
      </c>
      <c r="H18" s="7">
        <v>21788</v>
      </c>
      <c r="I18" s="7">
        <v>5671</v>
      </c>
      <c r="J18" s="5">
        <f t="shared" si="2"/>
        <v>27459</v>
      </c>
      <c r="K18" s="6">
        <f t="shared" si="3"/>
        <v>0.79347390655158601</v>
      </c>
      <c r="L18" s="6">
        <f t="shared" si="4"/>
        <v>0.20652609344841399</v>
      </c>
      <c r="M18" s="33"/>
    </row>
    <row r="19" spans="1:13" ht="15.5" x14ac:dyDescent="0.4">
      <c r="A19" s="36">
        <v>2012</v>
      </c>
      <c r="B19" s="7">
        <v>40666</v>
      </c>
      <c r="C19" s="7">
        <v>40416</v>
      </c>
      <c r="D19" s="7">
        <v>13500</v>
      </c>
      <c r="E19" s="7">
        <v>5000</v>
      </c>
      <c r="F19" s="7">
        <f t="shared" si="5"/>
        <v>21916</v>
      </c>
      <c r="G19" s="7">
        <f t="shared" si="1"/>
        <v>1753.28</v>
      </c>
      <c r="H19" s="7">
        <v>15999</v>
      </c>
      <c r="I19" s="7">
        <v>4164</v>
      </c>
      <c r="J19" s="5">
        <f t="shared" si="2"/>
        <v>20163</v>
      </c>
      <c r="K19" s="6">
        <f t="shared" si="3"/>
        <v>0.79348311263204885</v>
      </c>
      <c r="L19" s="6">
        <f t="shared" si="4"/>
        <v>0.20651688736795121</v>
      </c>
      <c r="M19" s="33"/>
    </row>
    <row r="20" spans="1:13" ht="15.5" x14ac:dyDescent="0.4">
      <c r="A20" s="36">
        <v>2013</v>
      </c>
      <c r="B20" s="7">
        <v>46854</v>
      </c>
      <c r="C20" s="7">
        <v>46604</v>
      </c>
      <c r="D20" s="7">
        <v>13500</v>
      </c>
      <c r="E20" s="7">
        <v>5000</v>
      </c>
      <c r="F20" s="7">
        <f t="shared" si="5"/>
        <v>28104</v>
      </c>
      <c r="G20" s="7">
        <f t="shared" si="1"/>
        <v>2248.3200000000002</v>
      </c>
      <c r="H20" s="7">
        <v>20516</v>
      </c>
      <c r="I20" s="7">
        <v>5340</v>
      </c>
      <c r="J20" s="5">
        <f t="shared" si="2"/>
        <v>25856</v>
      </c>
      <c r="K20" s="6">
        <f t="shared" si="3"/>
        <v>0.79347153465346532</v>
      </c>
      <c r="L20" s="6">
        <f t="shared" si="4"/>
        <v>0.20652846534653466</v>
      </c>
      <c r="M20" s="33"/>
    </row>
    <row r="21" spans="1:13" ht="15.5" x14ac:dyDescent="0.4">
      <c r="A21" s="36">
        <v>2014</v>
      </c>
      <c r="B21" s="7">
        <v>39749</v>
      </c>
      <c r="C21" s="7">
        <f>B21-10</f>
        <v>39739</v>
      </c>
      <c r="D21" s="7">
        <v>13500</v>
      </c>
      <c r="E21" s="7">
        <v>5000</v>
      </c>
      <c r="F21" s="7">
        <f t="shared" si="5"/>
        <v>21239</v>
      </c>
      <c r="G21" s="7">
        <f t="shared" si="1"/>
        <v>1699.1200000000001</v>
      </c>
      <c r="H21" s="7">
        <v>15505</v>
      </c>
      <c r="I21" s="7">
        <v>4035</v>
      </c>
      <c r="J21" s="5">
        <f t="shared" si="2"/>
        <v>19540</v>
      </c>
      <c r="K21" s="6">
        <f t="shared" si="3"/>
        <v>0.79350051177072667</v>
      </c>
      <c r="L21" s="6">
        <f t="shared" si="4"/>
        <v>0.20649948822927328</v>
      </c>
      <c r="M21" s="33"/>
    </row>
    <row r="22" spans="1:13" ht="15.5" x14ac:dyDescent="0.4">
      <c r="A22" s="36">
        <v>2015</v>
      </c>
      <c r="B22" s="7">
        <v>33744</v>
      </c>
      <c r="C22" s="7">
        <f>B22-11</f>
        <v>33733</v>
      </c>
      <c r="D22" s="7">
        <v>13500</v>
      </c>
      <c r="E22" s="7">
        <v>5000</v>
      </c>
      <c r="F22" s="7">
        <f t="shared" si="5"/>
        <v>15233</v>
      </c>
      <c r="G22" s="7">
        <f t="shared" si="1"/>
        <v>1218.6400000000001</v>
      </c>
      <c r="H22" s="7">
        <v>11120</v>
      </c>
      <c r="I22" s="7">
        <v>2894</v>
      </c>
      <c r="J22" s="5">
        <f t="shared" si="2"/>
        <v>14014</v>
      </c>
      <c r="K22" s="6">
        <f t="shared" si="3"/>
        <v>0.79349222206365067</v>
      </c>
      <c r="L22" s="6">
        <f t="shared" si="4"/>
        <v>0.20650777793634936</v>
      </c>
      <c r="M22" s="33"/>
    </row>
    <row r="23" spans="1:13" ht="15.5" x14ac:dyDescent="0.4">
      <c r="A23" s="36">
        <v>2016</v>
      </c>
      <c r="B23" s="7">
        <v>33532</v>
      </c>
      <c r="C23" s="7">
        <v>33522</v>
      </c>
      <c r="D23" s="7">
        <v>13500</v>
      </c>
      <c r="E23" s="7">
        <v>5000</v>
      </c>
      <c r="F23" s="7">
        <f t="shared" si="5"/>
        <v>15022</v>
      </c>
      <c r="G23" s="7">
        <f t="shared" si="1"/>
        <v>1201.76</v>
      </c>
      <c r="H23" s="7">
        <v>10966</v>
      </c>
      <c r="I23" s="7">
        <v>2854</v>
      </c>
      <c r="J23" s="5">
        <f t="shared" si="2"/>
        <v>13820</v>
      </c>
      <c r="K23" s="6">
        <f t="shared" si="3"/>
        <v>0.79348769898697535</v>
      </c>
      <c r="L23" s="6">
        <f t="shared" si="4"/>
        <v>0.20651230101302459</v>
      </c>
      <c r="M23" s="33"/>
    </row>
    <row r="24" spans="1:13" ht="15.5" x14ac:dyDescent="0.4">
      <c r="A24" s="36">
        <v>2017</v>
      </c>
      <c r="B24" s="7">
        <v>51519</v>
      </c>
      <c r="C24" s="7">
        <v>51509</v>
      </c>
      <c r="D24" s="7">
        <v>13500</v>
      </c>
      <c r="E24" s="7">
        <v>5000</v>
      </c>
      <c r="F24" s="7">
        <f t="shared" si="5"/>
        <v>33009</v>
      </c>
      <c r="G24" s="7">
        <f t="shared" si="1"/>
        <v>2640.7200000000003</v>
      </c>
      <c r="H24" s="7">
        <v>24096</v>
      </c>
      <c r="I24" s="7">
        <v>6272</v>
      </c>
      <c r="J24" s="5">
        <f t="shared" si="2"/>
        <v>30368</v>
      </c>
      <c r="K24" s="6">
        <f t="shared" si="3"/>
        <v>0.79346680716543727</v>
      </c>
      <c r="L24" s="6">
        <f t="shared" si="4"/>
        <v>0.2065331928345627</v>
      </c>
      <c r="M24" s="33"/>
    </row>
    <row r="25" spans="1:13" ht="15.5" x14ac:dyDescent="0.4">
      <c r="A25" s="36">
        <v>2018</v>
      </c>
      <c r="B25" s="7">
        <v>54384</v>
      </c>
      <c r="C25" s="7">
        <f>B25-10</f>
        <v>54374</v>
      </c>
      <c r="D25" s="7">
        <v>13500</v>
      </c>
      <c r="E25" s="7">
        <v>5000</v>
      </c>
      <c r="F25" s="7">
        <f t="shared" si="5"/>
        <v>35874</v>
      </c>
      <c r="G25" s="7">
        <f t="shared" si="1"/>
        <v>2869.92</v>
      </c>
      <c r="H25" s="7">
        <v>26187</v>
      </c>
      <c r="I25" s="7">
        <v>6816</v>
      </c>
      <c r="J25" s="5">
        <f t="shared" si="2"/>
        <v>33003</v>
      </c>
      <c r="K25" s="6">
        <f t="shared" si="3"/>
        <v>0.79347332060721754</v>
      </c>
      <c r="L25" s="6">
        <f t="shared" si="4"/>
        <v>0.20652667939278246</v>
      </c>
      <c r="M25" s="33"/>
    </row>
    <row r="26" spans="1:13" ht="15.5" x14ac:dyDescent="0.4">
      <c r="A26" s="36">
        <v>2019</v>
      </c>
      <c r="B26" s="7">
        <v>47999</v>
      </c>
      <c r="C26" s="7">
        <f>47999-10</f>
        <v>47989</v>
      </c>
      <c r="D26" s="7">
        <v>13500</v>
      </c>
      <c r="E26" s="7">
        <v>5000</v>
      </c>
      <c r="F26" s="7">
        <f t="shared" si="5"/>
        <v>29489</v>
      </c>
      <c r="G26" s="7">
        <f t="shared" si="1"/>
        <v>2359.12</v>
      </c>
      <c r="H26" s="37">
        <v>21527</v>
      </c>
      <c r="I26" s="7">
        <v>5603</v>
      </c>
      <c r="J26" s="5">
        <f t="shared" si="2"/>
        <v>27130</v>
      </c>
      <c r="K26" s="6">
        <f t="shared" si="3"/>
        <v>0.79347585698488754</v>
      </c>
      <c r="L26" s="6">
        <f t="shared" si="4"/>
        <v>0.20652414301511243</v>
      </c>
      <c r="M26" s="33"/>
    </row>
    <row r="27" spans="1:13" ht="15.5" x14ac:dyDescent="0.4">
      <c r="A27" s="36">
        <v>2020</v>
      </c>
      <c r="B27" s="7">
        <v>40722</v>
      </c>
      <c r="C27" s="7">
        <f>B27-10</f>
        <v>40712</v>
      </c>
      <c r="D27" s="7">
        <v>13500</v>
      </c>
      <c r="E27" s="7">
        <v>5000</v>
      </c>
      <c r="F27" s="7">
        <f t="shared" si="5"/>
        <v>22212</v>
      </c>
      <c r="G27" s="7">
        <f t="shared" si="1"/>
        <v>1776.96</v>
      </c>
      <c r="H27" s="7">
        <v>16288</v>
      </c>
      <c r="I27" s="7">
        <v>4239</v>
      </c>
      <c r="J27" s="5">
        <f t="shared" si="2"/>
        <v>20527</v>
      </c>
      <c r="K27" s="6">
        <f t="shared" si="3"/>
        <v>0.79349149900131533</v>
      </c>
      <c r="L27" s="6">
        <f t="shared" si="4"/>
        <v>0.20650850099868465</v>
      </c>
      <c r="M27" s="33"/>
    </row>
    <row r="28" spans="1:13" ht="15.5" x14ac:dyDescent="0.4">
      <c r="A28" s="36">
        <v>2021</v>
      </c>
      <c r="B28" s="7">
        <v>30216</v>
      </c>
      <c r="C28" s="7">
        <f>B28-10</f>
        <v>30206</v>
      </c>
      <c r="D28" s="7">
        <v>13500</v>
      </c>
      <c r="E28" s="7">
        <v>5000</v>
      </c>
      <c r="F28" s="7">
        <f t="shared" si="5"/>
        <v>11706</v>
      </c>
      <c r="G28" s="7">
        <f t="shared" si="1"/>
        <v>936.48</v>
      </c>
      <c r="H28" s="7">
        <v>8545</v>
      </c>
      <c r="I28" s="7">
        <v>2224</v>
      </c>
      <c r="J28" s="5">
        <f t="shared" si="2"/>
        <v>10769</v>
      </c>
      <c r="K28" s="6">
        <f t="shared" si="3"/>
        <v>0.79348128888476177</v>
      </c>
      <c r="L28" s="6">
        <f t="shared" si="4"/>
        <v>0.20651871111523817</v>
      </c>
      <c r="M28" s="33"/>
    </row>
    <row r="29" spans="1:13" ht="16" x14ac:dyDescent="0.4">
      <c r="A29" s="34" t="s">
        <v>29</v>
      </c>
      <c r="B29" s="35"/>
      <c r="C29" s="35"/>
      <c r="D29" s="35"/>
      <c r="E29" s="35"/>
      <c r="F29" s="35"/>
      <c r="G29" s="31"/>
      <c r="H29" s="31"/>
      <c r="I29" s="31"/>
      <c r="J29" s="31"/>
      <c r="K29" s="31"/>
      <c r="L29" s="31"/>
      <c r="M29" s="32"/>
    </row>
    <row r="30" spans="1:13" s="1" customFormat="1" ht="16" x14ac:dyDescent="0.4">
      <c r="A30" s="34" t="s">
        <v>80</v>
      </c>
      <c r="B30" s="79"/>
      <c r="C30" s="79"/>
      <c r="D30" s="79"/>
      <c r="E30" s="79"/>
      <c r="F30" s="80"/>
      <c r="G30" s="79"/>
      <c r="H30" s="3"/>
      <c r="I30" s="3"/>
      <c r="J30" s="3"/>
      <c r="K30" s="3"/>
      <c r="L30" s="3"/>
      <c r="M30" s="19"/>
    </row>
    <row r="31" spans="1:13" s="1" customFormat="1" ht="15.5" x14ac:dyDescent="0.4">
      <c r="A31" s="87" t="s">
        <v>83</v>
      </c>
      <c r="B31" s="79"/>
      <c r="C31" s="79"/>
      <c r="D31" s="79"/>
      <c r="E31" s="79"/>
      <c r="F31" s="80"/>
      <c r="G31" s="79"/>
      <c r="H31" s="3"/>
      <c r="I31" s="3"/>
      <c r="J31" s="3"/>
      <c r="K31" s="3"/>
      <c r="L31" s="3"/>
      <c r="M31" s="19"/>
    </row>
    <row r="32" spans="1:13" ht="17" x14ac:dyDescent="0.45">
      <c r="A32" s="21" t="s">
        <v>16</v>
      </c>
      <c r="B32" s="13"/>
      <c r="C32" s="29"/>
      <c r="D32" s="29"/>
      <c r="E32" s="29"/>
      <c r="F32" s="57"/>
      <c r="G32" s="31"/>
      <c r="H32" s="31"/>
      <c r="I32" s="31"/>
      <c r="J32" s="31"/>
      <c r="K32" s="31"/>
      <c r="L32" s="31"/>
      <c r="M32" s="32"/>
    </row>
    <row r="33" spans="1:13" ht="15.5" x14ac:dyDescent="0.4">
      <c r="A33" s="23" t="s">
        <v>6</v>
      </c>
      <c r="B33" s="5">
        <f>AVERAGE(B19:B28)</f>
        <v>41938.5</v>
      </c>
      <c r="C33" s="5">
        <f t="shared" ref="C33:L33" si="6">AVERAGE(C19:C28)</f>
        <v>41880.400000000001</v>
      </c>
      <c r="D33" s="5">
        <f t="shared" si="6"/>
        <v>13500</v>
      </c>
      <c r="E33" s="5">
        <f t="shared" si="6"/>
        <v>5000</v>
      </c>
      <c r="F33" s="5">
        <f t="shared" si="6"/>
        <v>23380.400000000001</v>
      </c>
      <c r="G33" s="5">
        <f t="shared" si="6"/>
        <v>1870.432</v>
      </c>
      <c r="H33" s="5">
        <f t="shared" si="6"/>
        <v>17074.900000000001</v>
      </c>
      <c r="I33" s="5">
        <f t="shared" si="6"/>
        <v>4444.1000000000004</v>
      </c>
      <c r="J33" s="5">
        <f t="shared" si="6"/>
        <v>21519</v>
      </c>
      <c r="K33" s="12">
        <f>AVERAGE(K19:K28)</f>
        <v>0.79348238527504866</v>
      </c>
      <c r="L33" s="12">
        <f t="shared" si="6"/>
        <v>0.20651761472495131</v>
      </c>
      <c r="M33" s="24" t="s">
        <v>3</v>
      </c>
    </row>
    <row r="34" spans="1:13" ht="15.5" x14ac:dyDescent="0.4">
      <c r="A34" s="23" t="s">
        <v>7</v>
      </c>
      <c r="B34" s="5">
        <f>AVERAGE(B14:B28)</f>
        <v>47852.73333333333</v>
      </c>
      <c r="C34" s="5">
        <f t="shared" ref="C34:L34" si="7">AVERAGE(C14:C28)</f>
        <v>47724</v>
      </c>
      <c r="D34" s="5">
        <f t="shared" si="7"/>
        <v>13500</v>
      </c>
      <c r="E34" s="5">
        <f t="shared" si="7"/>
        <v>5000</v>
      </c>
      <c r="F34" s="5">
        <f t="shared" si="7"/>
        <v>29224</v>
      </c>
      <c r="G34" s="5">
        <f t="shared" si="7"/>
        <v>2337.92</v>
      </c>
      <c r="H34" s="5">
        <f t="shared" si="7"/>
        <v>21338.266666666666</v>
      </c>
      <c r="I34" s="5">
        <f t="shared" si="7"/>
        <v>5553.8</v>
      </c>
      <c r="J34" s="5">
        <f t="shared" si="7"/>
        <v>26892.066666666666</v>
      </c>
      <c r="K34" s="12">
        <f>AVERAGE(K14:K28)</f>
        <v>0.79348021416098402</v>
      </c>
      <c r="L34" s="12">
        <f t="shared" si="7"/>
        <v>0.20651978583901612</v>
      </c>
      <c r="M34" s="24" t="s">
        <v>4</v>
      </c>
    </row>
    <row r="35" spans="1:13" ht="15.5" x14ac:dyDescent="0.4">
      <c r="A35" s="23" t="s">
        <v>8</v>
      </c>
      <c r="B35" s="5">
        <f>AVERAGE(B21:B28)</f>
        <v>41483.125</v>
      </c>
      <c r="C35" s="5"/>
      <c r="D35" s="5">
        <f t="shared" ref="D35:L35" si="8">AVERAGE(D21:D28)</f>
        <v>13500</v>
      </c>
      <c r="E35" s="5">
        <f t="shared" si="8"/>
        <v>5000</v>
      </c>
      <c r="F35" s="5">
        <f t="shared" si="8"/>
        <v>22973</v>
      </c>
      <c r="G35" s="5">
        <f t="shared" si="8"/>
        <v>1837.8399999999997</v>
      </c>
      <c r="H35" s="5">
        <f t="shared" si="8"/>
        <v>16779.25</v>
      </c>
      <c r="I35" s="5">
        <f t="shared" si="8"/>
        <v>4367.125</v>
      </c>
      <c r="J35" s="5">
        <f t="shared" si="8"/>
        <v>21146.375</v>
      </c>
      <c r="K35" s="12">
        <f t="shared" si="8"/>
        <v>0.79348365068312154</v>
      </c>
      <c r="L35" s="12">
        <f t="shared" si="8"/>
        <v>0.20651634931687848</v>
      </c>
      <c r="M35" s="24" t="s">
        <v>5</v>
      </c>
    </row>
    <row r="36" spans="1:13" ht="16" thickBot="1" x14ac:dyDescent="0.45">
      <c r="A36" s="25" t="s">
        <v>78</v>
      </c>
      <c r="B36" s="26">
        <f>AVERAGE(B8:B28)</f>
        <v>53946.714285714283</v>
      </c>
      <c r="C36" s="26"/>
      <c r="D36" s="26">
        <f t="shared" ref="D36:I36" si="9">AVERAGE(D8:D28)</f>
        <v>13571.428571428571</v>
      </c>
      <c r="E36" s="26">
        <f t="shared" si="9"/>
        <v>5000</v>
      </c>
      <c r="F36" s="26">
        <f t="shared" si="9"/>
        <v>35283.333333333336</v>
      </c>
      <c r="G36" s="26">
        <f t="shared" si="9"/>
        <v>2822.666666666667</v>
      </c>
      <c r="H36" s="26">
        <f t="shared" si="9"/>
        <v>25775</v>
      </c>
      <c r="I36" s="26">
        <f t="shared" si="9"/>
        <v>6711.8571428571431</v>
      </c>
      <c r="J36" s="26">
        <f t="shared" ref="J36:L36" si="10">AVERAGE(J8:J28)</f>
        <v>32486.857142857141</v>
      </c>
      <c r="K36" s="27">
        <f>AVERAGE(K8:K28)</f>
        <v>0.79334741892608973</v>
      </c>
      <c r="L36" s="27">
        <f t="shared" si="10"/>
        <v>0.20665258107391041</v>
      </c>
      <c r="M36" s="28" t="s">
        <v>79</v>
      </c>
    </row>
  </sheetData>
  <mergeCells count="1">
    <mergeCell ref="Q1:R1"/>
  </mergeCells>
  <pageMargins left="0.51181102362204722" right="0.51181102362204722" top="0.15748031496062992" bottom="0" header="0" footer="0"/>
  <pageSetup paperSize="9" scale="7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1"/>
  <sheetViews>
    <sheetView workbookViewId="0">
      <selection activeCell="J31" sqref="J31"/>
    </sheetView>
  </sheetViews>
  <sheetFormatPr baseColWidth="10" defaultColWidth="11.453125" defaultRowHeight="15.5" x14ac:dyDescent="0.4"/>
  <cols>
    <col min="1" max="1" width="6.1796875" style="1" customWidth="1"/>
    <col min="2" max="2" width="11.453125" style="1"/>
    <col min="3" max="3" width="9.54296875" style="1" customWidth="1"/>
    <col min="4" max="4" width="11.54296875" style="1" customWidth="1"/>
    <col min="5" max="5" width="11.7265625" style="1" customWidth="1"/>
    <col min="6" max="6" width="12.54296875" style="1" customWidth="1"/>
    <col min="7" max="7" width="17.81640625" style="1" customWidth="1"/>
    <col min="8" max="8" width="3.453125" style="1" customWidth="1"/>
    <col min="9" max="9" width="29.54296875" style="1" customWidth="1"/>
    <col min="10" max="10" width="11.81640625" style="1" customWidth="1"/>
    <col min="11" max="11" width="13.54296875" style="1" customWidth="1"/>
    <col min="12" max="16384" width="11.453125" style="1"/>
  </cols>
  <sheetData>
    <row r="1" spans="1:13" ht="22" x14ac:dyDescent="0.6">
      <c r="A1" s="38" t="s">
        <v>35</v>
      </c>
      <c r="B1" s="14"/>
      <c r="C1" s="14"/>
      <c r="D1" s="14"/>
      <c r="E1" s="14"/>
      <c r="F1" s="14"/>
      <c r="G1" s="14"/>
      <c r="H1" s="15"/>
      <c r="I1" s="89" t="s">
        <v>67</v>
      </c>
      <c r="J1" s="89"/>
      <c r="K1" s="16"/>
    </row>
    <row r="2" spans="1:13" x14ac:dyDescent="0.4">
      <c r="A2" s="91" t="s">
        <v>0</v>
      </c>
      <c r="B2" s="92" t="s">
        <v>36</v>
      </c>
      <c r="C2" s="92" t="s">
        <v>58</v>
      </c>
      <c r="D2" s="93" t="s">
        <v>38</v>
      </c>
      <c r="E2" s="94"/>
      <c r="F2" s="95" t="s">
        <v>37</v>
      </c>
      <c r="G2" s="95" t="s">
        <v>41</v>
      </c>
      <c r="H2" s="3"/>
      <c r="I2" s="3"/>
      <c r="J2" s="3"/>
      <c r="K2" s="19"/>
    </row>
    <row r="3" spans="1:13" ht="64" x14ac:dyDescent="0.4">
      <c r="A3" s="91"/>
      <c r="B3" s="92"/>
      <c r="C3" s="92"/>
      <c r="D3" s="82" t="s">
        <v>39</v>
      </c>
      <c r="E3" s="82" t="s">
        <v>40</v>
      </c>
      <c r="F3" s="96"/>
      <c r="G3" s="96"/>
      <c r="H3" s="3"/>
      <c r="I3" s="82" t="s">
        <v>45</v>
      </c>
      <c r="J3" s="82" t="s">
        <v>59</v>
      </c>
      <c r="K3" s="58" t="s">
        <v>69</v>
      </c>
    </row>
    <row r="4" spans="1:13" ht="16.5" customHeight="1" x14ac:dyDescent="0.4">
      <c r="A4" s="59">
        <v>2010</v>
      </c>
      <c r="B4" s="7">
        <v>7650</v>
      </c>
      <c r="C4" s="7">
        <v>750</v>
      </c>
      <c r="D4" s="7">
        <v>3600</v>
      </c>
      <c r="E4" s="7"/>
      <c r="F4" s="7">
        <f>B4-C4-D4</f>
        <v>3300</v>
      </c>
      <c r="G4" s="7"/>
      <c r="H4" s="3"/>
      <c r="I4" s="8" t="s">
        <v>46</v>
      </c>
      <c r="J4" s="44">
        <v>36</v>
      </c>
      <c r="K4" s="90">
        <f>(J4+J5)/J7</f>
        <v>0.60606060606060608</v>
      </c>
    </row>
    <row r="5" spans="1:13" x14ac:dyDescent="0.4">
      <c r="A5" s="59">
        <v>2011</v>
      </c>
      <c r="B5" s="7">
        <v>7650</v>
      </c>
      <c r="C5" s="7">
        <v>750</v>
      </c>
      <c r="D5" s="7">
        <v>3600</v>
      </c>
      <c r="E5" s="7"/>
      <c r="F5" s="7">
        <f t="shared" ref="F5:F11" si="0">B5-C5-D5</f>
        <v>3300</v>
      </c>
      <c r="G5" s="7"/>
      <c r="H5" s="3"/>
      <c r="I5" s="8" t="s">
        <v>47</v>
      </c>
      <c r="J5" s="44">
        <v>4</v>
      </c>
      <c r="K5" s="90"/>
    </row>
    <row r="6" spans="1:13" x14ac:dyDescent="0.4">
      <c r="A6" s="59">
        <v>2012</v>
      </c>
      <c r="B6" s="7">
        <v>9165</v>
      </c>
      <c r="C6" s="7">
        <v>465</v>
      </c>
      <c r="D6" s="7">
        <v>4400</v>
      </c>
      <c r="E6" s="7"/>
      <c r="F6" s="7">
        <f t="shared" si="0"/>
        <v>4300</v>
      </c>
      <c r="G6" s="7"/>
      <c r="H6" s="3"/>
      <c r="I6" s="8" t="s">
        <v>48</v>
      </c>
      <c r="J6" s="44">
        <v>26</v>
      </c>
      <c r="K6" s="60">
        <f>J6/J7</f>
        <v>0.39393939393939392</v>
      </c>
    </row>
    <row r="7" spans="1:13" x14ac:dyDescent="0.4">
      <c r="A7" s="59">
        <v>2013</v>
      </c>
      <c r="B7" s="7">
        <v>9675</v>
      </c>
      <c r="C7" s="7">
        <v>465</v>
      </c>
      <c r="D7" s="7">
        <v>4700</v>
      </c>
      <c r="E7" s="7"/>
      <c r="F7" s="7">
        <f t="shared" si="0"/>
        <v>4510</v>
      </c>
      <c r="G7" s="7"/>
      <c r="H7" s="3"/>
      <c r="I7" s="45" t="s">
        <v>49</v>
      </c>
      <c r="J7" s="46">
        <f>SUM(J4:J6)</f>
        <v>66</v>
      </c>
      <c r="K7" s="61">
        <f>SUM(K4:K6)</f>
        <v>1</v>
      </c>
      <c r="L7" s="47"/>
      <c r="M7" s="47"/>
    </row>
    <row r="8" spans="1:13" x14ac:dyDescent="0.4">
      <c r="A8" s="59">
        <v>2014</v>
      </c>
      <c r="B8" s="7">
        <v>9675</v>
      </c>
      <c r="C8" s="7">
        <v>200</v>
      </c>
      <c r="D8" s="7">
        <v>5500</v>
      </c>
      <c r="E8" s="7"/>
      <c r="F8" s="7">
        <f t="shared" si="0"/>
        <v>3975</v>
      </c>
      <c r="G8" s="7"/>
      <c r="H8" s="3"/>
      <c r="I8" s="3"/>
      <c r="J8" s="3"/>
      <c r="K8" s="19"/>
    </row>
    <row r="9" spans="1:13" x14ac:dyDescent="0.4">
      <c r="A9" s="59">
        <v>2015</v>
      </c>
      <c r="B9" s="7">
        <v>9675</v>
      </c>
      <c r="C9" s="7">
        <v>123</v>
      </c>
      <c r="D9" s="7">
        <v>5700</v>
      </c>
      <c r="E9" s="7"/>
      <c r="F9" s="7">
        <f t="shared" si="0"/>
        <v>3852</v>
      </c>
      <c r="G9" s="7"/>
      <c r="H9" s="3"/>
      <c r="I9" s="3"/>
      <c r="J9" s="3"/>
      <c r="K9" s="19"/>
    </row>
    <row r="10" spans="1:13" x14ac:dyDescent="0.4">
      <c r="A10" s="59">
        <v>2016</v>
      </c>
      <c r="B10" s="7">
        <v>11205</v>
      </c>
      <c r="C10" s="7">
        <v>80</v>
      </c>
      <c r="D10" s="7">
        <v>6600</v>
      </c>
      <c r="E10" s="7"/>
      <c r="F10" s="7">
        <f t="shared" si="0"/>
        <v>4525</v>
      </c>
      <c r="G10" s="7"/>
      <c r="H10" s="3"/>
      <c r="I10" s="3"/>
      <c r="J10" s="3"/>
      <c r="K10" s="19"/>
    </row>
    <row r="11" spans="1:13" x14ac:dyDescent="0.4">
      <c r="A11" s="59">
        <v>2017</v>
      </c>
      <c r="B11" s="7">
        <v>12225</v>
      </c>
      <c r="C11" s="7">
        <v>85</v>
      </c>
      <c r="D11" s="7">
        <v>7100</v>
      </c>
      <c r="E11" s="7"/>
      <c r="F11" s="7">
        <f t="shared" si="0"/>
        <v>5040</v>
      </c>
      <c r="G11" s="7"/>
      <c r="H11" s="3"/>
      <c r="I11" s="3"/>
      <c r="J11" s="3"/>
      <c r="K11" s="19"/>
    </row>
    <row r="12" spans="1:13" x14ac:dyDescent="0.4">
      <c r="A12" s="59">
        <v>2018</v>
      </c>
      <c r="B12" s="7">
        <v>13755</v>
      </c>
      <c r="C12" s="7">
        <v>190</v>
      </c>
      <c r="D12" s="7">
        <v>8019</v>
      </c>
      <c r="E12" s="7">
        <v>200</v>
      </c>
      <c r="F12" s="7">
        <f>B12-C12-D12-E12</f>
        <v>5346</v>
      </c>
      <c r="G12" s="7">
        <v>5346</v>
      </c>
      <c r="H12" s="62"/>
      <c r="I12" s="3"/>
      <c r="J12" s="3"/>
      <c r="K12" s="19"/>
    </row>
    <row r="13" spans="1:13" x14ac:dyDescent="0.4">
      <c r="A13" s="59">
        <v>2019</v>
      </c>
      <c r="B13" s="7">
        <v>13755</v>
      </c>
      <c r="C13" s="7">
        <v>116</v>
      </c>
      <c r="D13" s="7">
        <v>8063</v>
      </c>
      <c r="E13" s="7">
        <v>200</v>
      </c>
      <c r="F13" s="7">
        <f t="shared" ref="F13:F15" si="1">B13-C13-D13-E13</f>
        <v>5376</v>
      </c>
      <c r="G13" s="7">
        <v>5376</v>
      </c>
      <c r="H13" s="62"/>
      <c r="I13" s="3"/>
      <c r="J13" s="3"/>
      <c r="K13" s="19"/>
    </row>
    <row r="14" spans="1:13" x14ac:dyDescent="0.4">
      <c r="A14" s="59">
        <v>2020</v>
      </c>
      <c r="B14" s="7">
        <v>13755</v>
      </c>
      <c r="C14" s="7">
        <v>91</v>
      </c>
      <c r="D14" s="7">
        <v>8078</v>
      </c>
      <c r="E14" s="7">
        <v>200</v>
      </c>
      <c r="F14" s="7">
        <f t="shared" si="1"/>
        <v>5386</v>
      </c>
      <c r="G14" s="7">
        <v>5386</v>
      </c>
      <c r="H14" s="62"/>
      <c r="I14" s="3"/>
      <c r="J14" s="3"/>
      <c r="K14" s="19"/>
    </row>
    <row r="15" spans="1:13" x14ac:dyDescent="0.4">
      <c r="A15" s="59">
        <v>2021</v>
      </c>
      <c r="B15" s="7">
        <v>13755</v>
      </c>
      <c r="C15" s="7">
        <v>71</v>
      </c>
      <c r="D15" s="7">
        <v>8090</v>
      </c>
      <c r="E15" s="7">
        <v>200</v>
      </c>
      <c r="F15" s="7">
        <f t="shared" si="1"/>
        <v>5394</v>
      </c>
      <c r="G15" s="7">
        <v>5394</v>
      </c>
      <c r="H15" s="62"/>
      <c r="I15" s="3"/>
      <c r="J15" s="3"/>
      <c r="K15" s="19"/>
    </row>
    <row r="16" spans="1:13" ht="16" x14ac:dyDescent="0.4">
      <c r="A16" s="63" t="s">
        <v>42</v>
      </c>
      <c r="B16" s="2"/>
      <c r="C16" s="2"/>
      <c r="D16" s="2"/>
      <c r="E16" s="2"/>
      <c r="F16" s="2"/>
      <c r="G16" s="2"/>
      <c r="H16" s="3"/>
      <c r="I16" s="3"/>
      <c r="J16" s="3"/>
      <c r="K16" s="19"/>
    </row>
    <row r="17" spans="1:11" ht="16" x14ac:dyDescent="0.4">
      <c r="A17" s="63" t="s">
        <v>50</v>
      </c>
      <c r="B17" s="3"/>
      <c r="C17" s="3"/>
      <c r="D17" s="3"/>
      <c r="E17" s="3"/>
      <c r="F17" s="3"/>
      <c r="G17" s="3"/>
      <c r="H17" s="3"/>
      <c r="I17" s="3"/>
      <c r="J17" s="3"/>
      <c r="K17" s="19"/>
    </row>
    <row r="18" spans="1:11" ht="16" x14ac:dyDescent="0.4">
      <c r="A18" s="63" t="s">
        <v>44</v>
      </c>
      <c r="B18" s="3"/>
      <c r="C18" s="3"/>
      <c r="D18" s="3"/>
      <c r="E18" s="3"/>
      <c r="F18" s="3"/>
      <c r="G18" s="3"/>
      <c r="H18" s="3"/>
      <c r="I18" s="3"/>
      <c r="J18" s="3"/>
      <c r="K18" s="19"/>
    </row>
    <row r="19" spans="1:11" ht="16" x14ac:dyDescent="0.4">
      <c r="A19" s="64" t="s">
        <v>43</v>
      </c>
      <c r="B19" s="3"/>
      <c r="C19" s="3"/>
      <c r="D19" s="3"/>
      <c r="E19" s="3"/>
      <c r="F19" s="3"/>
      <c r="G19" s="3"/>
      <c r="H19" s="3"/>
      <c r="I19" s="3"/>
      <c r="J19" s="3"/>
      <c r="K19" s="19"/>
    </row>
    <row r="20" spans="1:11" x14ac:dyDescent="0.4">
      <c r="A20" s="34" t="s">
        <v>68</v>
      </c>
      <c r="B20" s="3"/>
      <c r="C20" s="3"/>
      <c r="D20" s="3"/>
      <c r="E20" s="3"/>
      <c r="F20" s="3"/>
      <c r="G20" s="3"/>
      <c r="H20" s="3"/>
      <c r="I20" s="3"/>
      <c r="J20" s="3"/>
      <c r="K20" s="19"/>
    </row>
    <row r="21" spans="1:11" ht="16" thickBot="1" x14ac:dyDescent="0.45">
      <c r="A21" s="84" t="s">
        <v>83</v>
      </c>
      <c r="B21" s="65"/>
      <c r="C21" s="65"/>
      <c r="D21" s="65"/>
      <c r="E21" s="65"/>
      <c r="F21" s="65"/>
      <c r="G21" s="65"/>
      <c r="H21" s="65"/>
      <c r="I21" s="65"/>
      <c r="J21" s="65"/>
      <c r="K21" s="66"/>
    </row>
  </sheetData>
  <mergeCells count="8">
    <mergeCell ref="I1:J1"/>
    <mergeCell ref="K4:K5"/>
    <mergeCell ref="A2:A3"/>
    <mergeCell ref="B2:B3"/>
    <mergeCell ref="D2:E2"/>
    <mergeCell ref="C2:C3"/>
    <mergeCell ref="F2:F3"/>
    <mergeCell ref="G2:G3"/>
  </mergeCells>
  <pageMargins left="0.11811023622047245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workbookViewId="0">
      <selection activeCell="I1" sqref="I1:J1"/>
    </sheetView>
  </sheetViews>
  <sheetFormatPr baseColWidth="10" defaultRowHeight="14.5" x14ac:dyDescent="0.35"/>
  <cols>
    <col min="5" max="5" width="24.7265625" customWidth="1"/>
  </cols>
  <sheetData>
    <row r="1" spans="1:10" ht="22" x14ac:dyDescent="0.6">
      <c r="A1" s="38" t="s">
        <v>70</v>
      </c>
      <c r="B1" s="14"/>
      <c r="C1" s="14"/>
      <c r="D1" s="14"/>
      <c r="E1" s="14"/>
      <c r="F1" s="15"/>
      <c r="G1" s="72"/>
      <c r="H1" s="72"/>
      <c r="I1" s="97" t="s">
        <v>71</v>
      </c>
      <c r="J1" s="98"/>
    </row>
    <row r="2" spans="1:10" ht="16.5" customHeight="1" x14ac:dyDescent="0.4">
      <c r="A2" s="91" t="s">
        <v>0</v>
      </c>
      <c r="B2" s="92" t="s">
        <v>36</v>
      </c>
      <c r="C2" s="92" t="s">
        <v>72</v>
      </c>
      <c r="D2" s="95" t="s">
        <v>74</v>
      </c>
      <c r="E2" s="95" t="s">
        <v>73</v>
      </c>
      <c r="F2" s="3"/>
      <c r="G2" s="31"/>
      <c r="H2" s="31"/>
      <c r="I2" s="31"/>
      <c r="J2" s="32"/>
    </row>
    <row r="3" spans="1:10" ht="15.5" x14ac:dyDescent="0.4">
      <c r="A3" s="91"/>
      <c r="B3" s="92"/>
      <c r="C3" s="92"/>
      <c r="D3" s="96"/>
      <c r="E3" s="96"/>
      <c r="F3" s="3"/>
      <c r="G3" s="31"/>
      <c r="H3" s="31"/>
      <c r="I3" s="31"/>
      <c r="J3" s="32"/>
    </row>
    <row r="4" spans="1:10" ht="15.5" x14ac:dyDescent="0.4">
      <c r="A4" s="59">
        <v>2014</v>
      </c>
      <c r="B4" s="5">
        <v>17280</v>
      </c>
      <c r="C4" s="7"/>
      <c r="D4" s="5">
        <v>500</v>
      </c>
      <c r="E4" s="7">
        <f>B4-C4-D4</f>
        <v>16780</v>
      </c>
      <c r="F4" s="3"/>
      <c r="G4" s="31"/>
      <c r="H4" s="31"/>
      <c r="I4" s="31"/>
      <c r="J4" s="32"/>
    </row>
    <row r="5" spans="1:10" ht="15.5" x14ac:dyDescent="0.4">
      <c r="A5" s="59">
        <v>2015</v>
      </c>
      <c r="B5" s="5">
        <v>19600</v>
      </c>
      <c r="C5" s="5">
        <v>13</v>
      </c>
      <c r="D5" s="5">
        <v>500</v>
      </c>
      <c r="E5" s="7">
        <f t="shared" ref="E5:E11" si="0">B5-C5-D5</f>
        <v>19087</v>
      </c>
      <c r="F5" s="3"/>
      <c r="G5" s="31"/>
      <c r="H5" s="31"/>
      <c r="I5" s="31"/>
      <c r="J5" s="32"/>
    </row>
    <row r="6" spans="1:10" ht="15.5" x14ac:dyDescent="0.4">
      <c r="A6" s="59">
        <v>2016</v>
      </c>
      <c r="B6" s="5">
        <v>17600</v>
      </c>
      <c r="C6" s="5">
        <v>13</v>
      </c>
      <c r="D6" s="5">
        <v>100</v>
      </c>
      <c r="E6" s="7">
        <f t="shared" si="0"/>
        <v>17487</v>
      </c>
      <c r="F6" s="3"/>
      <c r="G6" s="31"/>
      <c r="H6" s="31"/>
      <c r="I6" s="31"/>
      <c r="J6" s="32"/>
    </row>
    <row r="7" spans="1:10" ht="15.5" x14ac:dyDescent="0.4">
      <c r="A7" s="59">
        <v>2017</v>
      </c>
      <c r="B7" s="5">
        <v>17600</v>
      </c>
      <c r="C7" s="5">
        <v>23</v>
      </c>
      <c r="D7" s="5">
        <v>100</v>
      </c>
      <c r="E7" s="7">
        <f t="shared" si="0"/>
        <v>17477</v>
      </c>
      <c r="F7" s="3"/>
      <c r="G7" s="31"/>
      <c r="H7" s="31"/>
      <c r="I7" s="31"/>
      <c r="J7" s="32"/>
    </row>
    <row r="8" spans="1:10" ht="15.5" x14ac:dyDescent="0.4">
      <c r="A8" s="59">
        <v>2018</v>
      </c>
      <c r="B8" s="5">
        <v>19514</v>
      </c>
      <c r="C8" s="5">
        <v>13</v>
      </c>
      <c r="D8" s="5">
        <v>100</v>
      </c>
      <c r="E8" s="7">
        <f t="shared" si="0"/>
        <v>19401</v>
      </c>
      <c r="F8" s="3"/>
      <c r="G8" s="31"/>
      <c r="H8" s="31"/>
      <c r="I8" s="31"/>
      <c r="J8" s="32"/>
    </row>
    <row r="9" spans="1:10" ht="15.5" x14ac:dyDescent="0.4">
      <c r="A9" s="59">
        <v>2019</v>
      </c>
      <c r="B9" s="5">
        <v>34705</v>
      </c>
      <c r="C9" s="5">
        <v>34</v>
      </c>
      <c r="D9" s="5">
        <v>100</v>
      </c>
      <c r="E9" s="7">
        <f t="shared" si="0"/>
        <v>34571</v>
      </c>
      <c r="F9" s="3"/>
      <c r="G9" s="31"/>
      <c r="H9" s="31"/>
      <c r="I9" s="31"/>
      <c r="J9" s="32"/>
    </row>
    <row r="10" spans="1:10" ht="15.5" x14ac:dyDescent="0.4">
      <c r="A10" s="59">
        <v>2020</v>
      </c>
      <c r="B10" s="5">
        <v>36219</v>
      </c>
      <c r="C10" s="5">
        <v>34</v>
      </c>
      <c r="D10" s="5">
        <v>100</v>
      </c>
      <c r="E10" s="7">
        <f t="shared" si="0"/>
        <v>36085</v>
      </c>
      <c r="F10" s="3"/>
      <c r="G10" s="31"/>
      <c r="H10" s="31"/>
      <c r="I10" s="31"/>
      <c r="J10" s="32"/>
    </row>
    <row r="11" spans="1:10" ht="15.5" x14ac:dyDescent="0.4">
      <c r="A11" s="59">
        <v>2021</v>
      </c>
      <c r="B11" s="5">
        <v>43534</v>
      </c>
      <c r="C11" s="5">
        <v>55</v>
      </c>
      <c r="D11" s="5">
        <v>100</v>
      </c>
      <c r="E11" s="7">
        <f t="shared" si="0"/>
        <v>43379</v>
      </c>
      <c r="F11" s="3"/>
      <c r="G11" s="31"/>
      <c r="H11" s="31"/>
      <c r="I11" s="31"/>
      <c r="J11" s="32"/>
    </row>
    <row r="12" spans="1:10" ht="16" x14ac:dyDescent="0.4">
      <c r="A12" s="71" t="s">
        <v>75</v>
      </c>
      <c r="B12" s="2"/>
      <c r="C12" s="2"/>
      <c r="D12" s="2"/>
      <c r="E12" s="2"/>
      <c r="F12" s="62"/>
      <c r="G12" s="31"/>
      <c r="H12" s="31"/>
      <c r="I12" s="31"/>
      <c r="J12" s="32"/>
    </row>
    <row r="13" spans="1:10" ht="16" x14ac:dyDescent="0.4">
      <c r="A13" s="63" t="s">
        <v>76</v>
      </c>
      <c r="B13" s="3"/>
      <c r="C13" s="3"/>
      <c r="D13" s="3"/>
      <c r="E13" s="3"/>
      <c r="F13" s="62"/>
      <c r="G13" s="31"/>
      <c r="H13" s="31"/>
      <c r="I13" s="31"/>
      <c r="J13" s="32"/>
    </row>
    <row r="14" spans="1:10" ht="16" thickBot="1" x14ac:dyDescent="0.45">
      <c r="A14" s="85" t="s">
        <v>83</v>
      </c>
      <c r="B14" s="65"/>
      <c r="C14" s="65"/>
      <c r="D14" s="65"/>
      <c r="E14" s="65"/>
      <c r="F14" s="65"/>
      <c r="G14" s="73"/>
      <c r="H14" s="73"/>
      <c r="I14" s="73"/>
      <c r="J14" s="74"/>
    </row>
    <row r="15" spans="1:10" ht="15.5" x14ac:dyDescent="0.4">
      <c r="F15" s="3"/>
    </row>
    <row r="16" spans="1:10" ht="15.5" x14ac:dyDescent="0.4">
      <c r="F16" s="3"/>
    </row>
    <row r="17" spans="6:6" ht="15.5" x14ac:dyDescent="0.4">
      <c r="F17" s="3"/>
    </row>
    <row r="18" spans="6:6" ht="15.5" x14ac:dyDescent="0.4">
      <c r="F18" s="3"/>
    </row>
  </sheetData>
  <mergeCells count="6">
    <mergeCell ref="D2:D3"/>
    <mergeCell ref="I1:J1"/>
    <mergeCell ref="A2:A3"/>
    <mergeCell ref="B2:B3"/>
    <mergeCell ref="C2:C3"/>
    <mergeCell ref="E2:E3"/>
  </mergeCells>
  <pageMargins left="0.51181102362204722" right="0.31496062992125984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6</vt:i4>
      </vt:variant>
    </vt:vector>
  </HeadingPairs>
  <TitlesOfParts>
    <vt:vector size="6" baseType="lpstr">
      <vt:lpstr>kvoter_torsk_nord_96-21</vt:lpstr>
      <vt:lpstr>kvoter_hyse_nord_96-21</vt:lpstr>
      <vt:lpstr>kvoter_sei_nord_96-21</vt:lpstr>
      <vt:lpstr>kvoter_NS_96-21</vt:lpstr>
      <vt:lpstr>kvoter_blåkveite_nord_10-21</vt:lpstr>
      <vt:lpstr>kvoter_snabeluer_nord_14-21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Guro Gjelsvik</dc:creator>
  <cp:lastModifiedBy>Kristin Skurtveit</cp:lastModifiedBy>
  <cp:lastPrinted>2021-08-22T11:07:29Z</cp:lastPrinted>
  <dcterms:created xsi:type="dcterms:W3CDTF">2019-01-12T15:15:49Z</dcterms:created>
  <dcterms:modified xsi:type="dcterms:W3CDTF">2021-09-13T10:37:34Z</dcterms:modified>
</cp:coreProperties>
</file>