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88FFC630-D0D0-4A96-A29F-692644F7FF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D331" i="1"/>
  <c r="H329" i="1"/>
  <c r="F329" i="1"/>
  <c r="E329" i="1"/>
  <c r="H328" i="1"/>
  <c r="H327" i="1" s="1"/>
  <c r="F328" i="1"/>
  <c r="F327" i="1" s="1"/>
  <c r="G327" i="1" s="1"/>
  <c r="E328" i="1"/>
  <c r="E327" i="1" s="1"/>
  <c r="H326" i="1"/>
  <c r="F326" i="1"/>
  <c r="E326" i="1"/>
  <c r="E324" i="1" s="1"/>
  <c r="H325" i="1"/>
  <c r="H324" i="1" s="1"/>
  <c r="F325" i="1"/>
  <c r="F324" i="1" s="1"/>
  <c r="G324" i="1" s="1"/>
  <c r="E325" i="1"/>
  <c r="H323" i="1"/>
  <c r="F323" i="1"/>
  <c r="E323" i="1"/>
  <c r="H322" i="1"/>
  <c r="H321" i="1" s="1"/>
  <c r="H331" i="1" s="1"/>
  <c r="F322" i="1"/>
  <c r="E322" i="1"/>
  <c r="F321" i="1"/>
  <c r="E321" i="1"/>
  <c r="E331" i="1" s="1"/>
  <c r="D299" i="1"/>
  <c r="I298" i="1"/>
  <c r="H298" i="1"/>
  <c r="G298" i="1"/>
  <c r="F298" i="1"/>
  <c r="I297" i="1"/>
  <c r="H297" i="1"/>
  <c r="G297" i="1"/>
  <c r="F297" i="1"/>
  <c r="I296" i="1"/>
  <c r="I294" i="1" s="1"/>
  <c r="G296" i="1"/>
  <c r="F296" i="1"/>
  <c r="I295" i="1"/>
  <c r="G295" i="1"/>
  <c r="F295" i="1"/>
  <c r="G294" i="1"/>
  <c r="H294" i="1" s="1"/>
  <c r="F294" i="1"/>
  <c r="I293" i="1"/>
  <c r="H293" i="1"/>
  <c r="G293" i="1"/>
  <c r="F293" i="1"/>
  <c r="I292" i="1"/>
  <c r="G292" i="1"/>
  <c r="H292" i="1" s="1"/>
  <c r="F292" i="1"/>
  <c r="I291" i="1"/>
  <c r="I288" i="1" s="1"/>
  <c r="I299" i="1" s="1"/>
  <c r="H291" i="1"/>
  <c r="G291" i="1"/>
  <c r="F291" i="1"/>
  <c r="I290" i="1"/>
  <c r="G290" i="1"/>
  <c r="G288" i="1" s="1"/>
  <c r="G299" i="1" s="1"/>
  <c r="F290" i="1"/>
  <c r="I289" i="1"/>
  <c r="H289" i="1"/>
  <c r="G289" i="1"/>
  <c r="F289" i="1"/>
  <c r="F288" i="1"/>
  <c r="F299" i="1" s="1"/>
  <c r="E288" i="1"/>
  <c r="E299" i="1" s="1"/>
  <c r="D288" i="1"/>
  <c r="H280" i="1"/>
  <c r="F280" i="1"/>
  <c r="D262" i="1"/>
  <c r="H261" i="1"/>
  <c r="F261" i="1"/>
  <c r="E261" i="1"/>
  <c r="H260" i="1"/>
  <c r="F260" i="1"/>
  <c r="G260" i="1" s="1"/>
  <c r="E260" i="1"/>
  <c r="H259" i="1"/>
  <c r="G259" i="1"/>
  <c r="F259" i="1"/>
  <c r="E259" i="1"/>
  <c r="H258" i="1"/>
  <c r="H262" i="1" s="1"/>
  <c r="F258" i="1"/>
  <c r="F262" i="1" s="1"/>
  <c r="G262" i="1" s="1"/>
  <c r="E258" i="1"/>
  <c r="E262" i="1" s="1"/>
  <c r="D251" i="1"/>
  <c r="D207" i="1"/>
  <c r="G207" i="1" s="1"/>
  <c r="G206" i="1"/>
  <c r="H205" i="1"/>
  <c r="G205" i="1"/>
  <c r="F205" i="1"/>
  <c r="E205" i="1"/>
  <c r="H204" i="1"/>
  <c r="H207" i="1" s="1"/>
  <c r="F204" i="1"/>
  <c r="F207" i="1" s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H184" i="1" s="1"/>
  <c r="F179" i="1"/>
  <c r="F178" i="1" s="1"/>
  <c r="G178" i="1" s="1"/>
  <c r="E179" i="1"/>
  <c r="E178" i="1" s="1"/>
  <c r="H177" i="1"/>
  <c r="G177" i="1"/>
  <c r="F177" i="1"/>
  <c r="E177" i="1"/>
  <c r="H176" i="1"/>
  <c r="F176" i="1"/>
  <c r="E176" i="1"/>
  <c r="H175" i="1"/>
  <c r="F175" i="1"/>
  <c r="E175" i="1"/>
  <c r="D150" i="1"/>
  <c r="H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G140" i="1"/>
  <c r="G139" i="1" s="1"/>
  <c r="F140" i="1"/>
  <c r="F139" i="1" s="1"/>
  <c r="F133" i="1" s="1"/>
  <c r="I139" i="1"/>
  <c r="E139" i="1"/>
  <c r="I138" i="1"/>
  <c r="H138" i="1"/>
  <c r="F138" i="1"/>
  <c r="I137" i="1"/>
  <c r="H137" i="1"/>
  <c r="F137" i="1"/>
  <c r="I136" i="1"/>
  <c r="H136" i="1"/>
  <c r="F136" i="1"/>
  <c r="I135" i="1"/>
  <c r="H135" i="1"/>
  <c r="H134" i="1" s="1"/>
  <c r="F135" i="1"/>
  <c r="I134" i="1"/>
  <c r="I133" i="1" s="1"/>
  <c r="G134" i="1"/>
  <c r="G133" i="1" s="1"/>
  <c r="F134" i="1"/>
  <c r="E134" i="1"/>
  <c r="E133" i="1"/>
  <c r="I132" i="1"/>
  <c r="F132" i="1"/>
  <c r="H131" i="1"/>
  <c r="I130" i="1"/>
  <c r="G130" i="1"/>
  <c r="H130" i="1" s="1"/>
  <c r="H128" i="1" s="1"/>
  <c r="F130" i="1"/>
  <c r="I129" i="1"/>
  <c r="I128" i="1" s="1"/>
  <c r="I150" i="1" s="1"/>
  <c r="H129" i="1"/>
  <c r="G129" i="1"/>
  <c r="F129" i="1"/>
  <c r="G128" i="1"/>
  <c r="F128" i="1"/>
  <c r="E128" i="1"/>
  <c r="E150" i="1" s="1"/>
  <c r="C126" i="1"/>
  <c r="H106" i="1"/>
  <c r="H105" i="1"/>
  <c r="H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F96" i="1" s="1"/>
  <c r="F95" i="1" s="1"/>
  <c r="I97" i="1"/>
  <c r="I96" i="1" s="1"/>
  <c r="I95" i="1" s="1"/>
  <c r="H97" i="1"/>
  <c r="H96" i="1" s="1"/>
  <c r="H95" i="1" s="1"/>
  <c r="G97" i="1"/>
  <c r="G96" i="1" s="1"/>
  <c r="G95" i="1" s="1"/>
  <c r="F97" i="1"/>
  <c r="E96" i="1"/>
  <c r="E95" i="1" s="1"/>
  <c r="E107" i="1" s="1"/>
  <c r="D96" i="1"/>
  <c r="D95" i="1" s="1"/>
  <c r="D107" i="1" s="1"/>
  <c r="I94" i="1"/>
  <c r="I92" i="1" s="1"/>
  <c r="H94" i="1"/>
  <c r="G94" i="1"/>
  <c r="F94" i="1"/>
  <c r="I93" i="1"/>
  <c r="H93" i="1"/>
  <c r="G93" i="1"/>
  <c r="F93" i="1"/>
  <c r="F92" i="1" s="1"/>
  <c r="F107" i="1" s="1"/>
  <c r="H92" i="1"/>
  <c r="H107" i="1" s="1"/>
  <c r="G92" i="1"/>
  <c r="E92" i="1"/>
  <c r="C89" i="1"/>
  <c r="H85" i="1"/>
  <c r="F85" i="1"/>
  <c r="D85" i="1"/>
  <c r="G61" i="1"/>
  <c r="G60" i="1"/>
  <c r="H55" i="1"/>
  <c r="F55" i="1"/>
  <c r="G55" i="1" s="1"/>
  <c r="E55" i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I35" i="1"/>
  <c r="H35" i="1"/>
  <c r="G35" i="1"/>
  <c r="F35" i="1"/>
  <c r="G34" i="1"/>
  <c r="H34" i="1" s="1"/>
  <c r="I33" i="1"/>
  <c r="H33" i="1"/>
  <c r="G33" i="1"/>
  <c r="F33" i="1"/>
  <c r="I32" i="1"/>
  <c r="H32" i="1"/>
  <c r="G32" i="1"/>
  <c r="F32" i="1"/>
  <c r="I31" i="1"/>
  <c r="G31" i="1"/>
  <c r="H31" i="1" s="1"/>
  <c r="F31" i="1"/>
  <c r="I30" i="1"/>
  <c r="H30" i="1"/>
  <c r="G30" i="1"/>
  <c r="F30" i="1"/>
  <c r="I29" i="1"/>
  <c r="H29" i="1"/>
  <c r="G29" i="1"/>
  <c r="F29" i="1"/>
  <c r="F27" i="1" s="1"/>
  <c r="I28" i="1"/>
  <c r="I27" i="1" s="1"/>
  <c r="H28" i="1"/>
  <c r="G28" i="1"/>
  <c r="F28" i="1"/>
  <c r="I25" i="1"/>
  <c r="H25" i="1"/>
  <c r="G25" i="1"/>
  <c r="F25" i="1"/>
  <c r="I24" i="1"/>
  <c r="I23" i="1" s="1"/>
  <c r="H24" i="1"/>
  <c r="H23" i="1" s="1"/>
  <c r="G24" i="1"/>
  <c r="G23" i="1" s="1"/>
  <c r="F24" i="1"/>
  <c r="F23" i="1"/>
  <c r="H16" i="1"/>
  <c r="F16" i="1"/>
  <c r="D16" i="1"/>
  <c r="G150" i="1" l="1"/>
  <c r="I34" i="1"/>
  <c r="I26" i="1"/>
  <c r="I44" i="1" s="1"/>
  <c r="F34" i="1"/>
  <c r="F26" i="1" s="1"/>
  <c r="F44" i="1" s="1"/>
  <c r="G27" i="1"/>
  <c r="G26" i="1" s="1"/>
  <c r="G44" i="1" s="1"/>
  <c r="H27" i="1"/>
  <c r="H26" i="1" s="1"/>
  <c r="H44" i="1" s="1"/>
  <c r="G107" i="1"/>
  <c r="F150" i="1"/>
  <c r="I107" i="1"/>
  <c r="E184" i="1"/>
  <c r="H288" i="1"/>
  <c r="H299" i="1" s="1"/>
  <c r="F331" i="1"/>
  <c r="F184" i="1"/>
  <c r="G184" i="1" s="1"/>
  <c r="H290" i="1"/>
  <c r="G204" i="1"/>
  <c r="G175" i="1"/>
  <c r="H140" i="1"/>
  <c r="H139" i="1" s="1"/>
  <c r="H133" i="1" s="1"/>
  <c r="H150" i="1" s="1"/>
  <c r="G258" i="1"/>
  <c r="G321" i="1"/>
  <c r="G331" i="1" s="1"/>
</calcChain>
</file>

<file path=xl/sharedStrings.xml><?xml version="1.0" encoding="utf-8"?>
<sst xmlns="http://schemas.openxmlformats.org/spreadsheetml/2006/main" count="330" uniqueCount="148">
  <si>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</si>
  <si>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</si>
  <si>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</si>
  <si>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</si>
  <si>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</si>
  <si>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</si>
  <si>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</si>
  <si>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</si>
  <si>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</si>
  <si>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</si>
  <si>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</si>
  <si>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</si>
  <si>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</si>
  <si>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</si>
  <si>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</si>
  <si>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</si>
  <si>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</si>
  <si>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</si>
  <si>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</si>
  <si>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</si>
  <si>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</si>
  <si>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</si>
  <si>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</si>
  <si>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</si>
  <si>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</si>
  <si>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</si>
  <si>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</si>
  <si>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</si>
  <si>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</si>
  <si>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</si>
  <si>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</si>
  <si>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</si>
  <si>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</si>
  <si>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</si>
  <si>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</si>
  <si>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</si>
  <si>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</si>
  <si>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</si>
  <si>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</si>
  <si>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</si>
  <si>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</si>
  <si>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</si>
  <si>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</si>
  <si>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</si>
  <si>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</si>
  <si>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</si>
  <si>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</si>
  <si>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</si>
  <si>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</si>
  <si>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</si>
  <si>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</si>
  <si>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</si>
  <si>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</si>
  <si>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</si>
  <si>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</si>
  <si>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</si>
  <si>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</si>
  <si>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</si>
  <si>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</si>
  <si>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</si>
  <si>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</si>
  <si>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</si>
  <si>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</si>
  <si>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</si>
  <si>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</si>
  <si>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</si>
  <si>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</si>
  <si>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</si>
  <si>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</si>
  <si>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</si>
  <si>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</si>
  <si>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</si>
  <si>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</si>
  <si>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</si>
  <si>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</si>
  <si>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</si>
  <si>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</si>
  <si>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</si>
  <si>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</si>
  <si>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</si>
  <si>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</si>
  <si>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</si>
  <si>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</si>
  <si>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</si>
  <si>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</si>
  <si>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</si>
  <si>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</si>
  <si>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</si>
  <si>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</si>
  <si>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</si>
  <si>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</si>
  <si>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</si>
  <si>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</si>
  <si>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</si>
  <si>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</si>
  <si>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</si>
  <si>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</si>
  <si>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</si>
  <si>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</si>
  <si>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</si>
  <si>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</si>
  <si>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</si>
  <si>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</si>
  <si>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</si>
  <si>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</si>
  <si>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</si>
  <si>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</si>
  <si>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</si>
  <si>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</si>
  <si>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</si>
  <si>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</si>
  <si>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</si>
  <si>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</si>
  <si>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</si>
  <si>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</si>
  <si>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</si>
  <si>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</si>
  <si>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</si>
  <si>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</si>
  <si>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</si>
  <si>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</si>
  <si>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</si>
  <si>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</si>
  <si>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</si>
  <si>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</si>
  <si>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</si>
  <si>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</si>
  <si>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</si>
  <si>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</si>
  <si>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</si>
  <si>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</si>
  <si>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</si>
  <si>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</si>
  <si>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</si>
  <si>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</si>
  <si>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</si>
  <si>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</si>
  <si>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</si>
  <si>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</si>
  <si>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</si>
  <si>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FANGST UKE 16</t>
  </si>
  <si>
    <t>FANGST T.O.M UKE 16</t>
  </si>
  <si>
    <t>RESTKVOTER UKE 16</t>
  </si>
  <si>
    <t>FANGST T.O.M UKE 16 2022</t>
  </si>
  <si>
    <r>
      <t>3</t>
    </r>
    <r>
      <rPr>
        <sz val="9"/>
        <color indexed="8"/>
        <rFont val="Calibri"/>
        <family val="2"/>
      </rPr>
      <t xml:space="preserve"> Det er fisket 1 241 tonn sei med konvensjonelle redskap som belastes notkvoten.</t>
    </r>
  </si>
  <si>
    <r>
      <t xml:space="preserve">3 </t>
    </r>
    <r>
      <rPr>
        <sz val="9"/>
        <color indexed="8"/>
        <rFont val="Calibri"/>
        <family val="2"/>
      </rPr>
      <t>Registrert rekreasjonsfiske utgjør 413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</si>
  <si>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38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</si>
  <si>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166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</si>
</sst>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Normal="85" zoomScaleSheetLayoutView="100" workbookViewId="0">
      <selection activeCell="D5" sqref="D5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137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138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140</v>
      </c>
      <c r="G22" s="68" t="s">
        <v>141</v>
      </c>
      <c r="H22" s="68" t="s">
        <v>142</v>
      </c>
      <c r="I22" s="68" t="s">
        <v>143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905.72519999999997</v>
      </c>
      <c r="G23" s="28">
        <f t="shared" si="0"/>
        <v>36361.358610000003</v>
      </c>
      <c r="H23" s="11">
        <f t="shared" si="0"/>
        <v>50465.641389999997</v>
      </c>
      <c r="I23" s="11">
        <f t="shared" si="0"/>
        <v>45274.502760000003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905.7252</f>
        <v>905.72519999999997</v>
      </c>
      <c r="G24" s="23">
        <f>36163.09887</f>
        <v>36163.098870000002</v>
      </c>
      <c r="H24" s="23">
        <f>E24-G24</f>
        <v>49881.901129999998</v>
      </c>
      <c r="I24" s="23">
        <f>45031.72129</f>
        <v>45031.721290000001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198.25974</f>
        <v>198.25973999999999</v>
      </c>
      <c r="H25" s="23">
        <f>E25-G25</f>
        <v>583.74026000000003</v>
      </c>
      <c r="I25" s="23">
        <f>242.78147</f>
        <v>242.78147000000001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6177.6998899999999</v>
      </c>
      <c r="G26" s="11">
        <f t="shared" si="1"/>
        <v>143453.60154999999</v>
      </c>
      <c r="H26" s="11">
        <f t="shared" si="1"/>
        <v>54116.398449999993</v>
      </c>
      <c r="I26" s="11">
        <f t="shared" si="1"/>
        <v>172943.61379999999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4259.5971299999992</v>
      </c>
      <c r="G27" s="134">
        <f t="shared" ref="G27:I27" si="2">G28+G29+G30+G31+G32</f>
        <v>115836.29665999999</v>
      </c>
      <c r="H27" s="134">
        <f t="shared" si="2"/>
        <v>36814.703339999993</v>
      </c>
      <c r="I27" s="134">
        <f t="shared" si="2"/>
        <v>145269.49763999999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1588.54314</f>
        <v>1588.54314</v>
      </c>
      <c r="G28" s="129">
        <f>32393.07179 - F57</f>
        <v>32393.071790000002</v>
      </c>
      <c r="H28" s="129">
        <f t="shared" ref="H28:H40" si="3">E28-G28</f>
        <v>7155.9282099999982</v>
      </c>
      <c r="I28" s="129">
        <f>37381.99255 - H57</f>
        <v>37381.992550000003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804.44603</f>
        <v>804.44602999999995</v>
      </c>
      <c r="G29" s="129">
        <f>33462.61383 - F58</f>
        <v>33462.613830000002</v>
      </c>
      <c r="H29" s="129">
        <f t="shared" si="3"/>
        <v>7301.3861699999979</v>
      </c>
      <c r="I29" s="129">
        <f>40956.3641 - H58</f>
        <v>40956.364099999999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1102.74911</f>
        <v>1102.74911</v>
      </c>
      <c r="G30" s="129">
        <f>29509.94819 - F59</f>
        <v>29509.948189999999</v>
      </c>
      <c r="H30" s="129">
        <f t="shared" si="3"/>
        <v>7757.0518100000008</v>
      </c>
      <c r="I30" s="129">
        <f>38301.12269 - H59</f>
        <v>38301.122689999997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763.85885</f>
        <v>763.85884999999996</v>
      </c>
      <c r="G31" s="129">
        <f>20470.66285 - F60</f>
        <v>20470.662850000001</v>
      </c>
      <c r="H31" s="129">
        <f t="shared" si="3"/>
        <v>4936.3371499999994</v>
      </c>
      <c r="I31" s="129">
        <f>28630.0183 - H60</f>
        <v>28630.0183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795.2159</f>
        <v>795.21590000000003</v>
      </c>
      <c r="G33" s="134">
        <f>10827.20602</f>
        <v>10827.20602</v>
      </c>
      <c r="H33" s="134">
        <f t="shared" si="3"/>
        <v>12758.79398</v>
      </c>
      <c r="I33" s="134">
        <f>12532.25574</f>
        <v>12532.255740000001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1122.8868600000001</v>
      </c>
      <c r="G34" s="134">
        <f>G35+G36</f>
        <v>16790.098870000002</v>
      </c>
      <c r="H34" s="134">
        <f t="shared" si="3"/>
        <v>4542.9011299999984</v>
      </c>
      <c r="I34" s="134">
        <f>I35+I36</f>
        <v>15141.860420000001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1122.88686</f>
        <v>1122.8868600000001</v>
      </c>
      <c r="G35" s="134">
        <f>19098.09887 - F61 - F62</f>
        <v>16790.098870000002</v>
      </c>
      <c r="H35" s="129">
        <f t="shared" si="3"/>
        <v>3342.9011299999984</v>
      </c>
      <c r="I35" s="129">
        <f>16003.86042 - H61 - H62</f>
        <v>15141.860420000001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15.042</f>
        <v>15.042</v>
      </c>
      <c r="G37" s="141">
        <f>34.419</f>
        <v>34.418999999999997</v>
      </c>
      <c r="H37" s="141">
        <f t="shared" si="3"/>
        <v>2965.5810000000001</v>
      </c>
      <c r="I37" s="141">
        <f>284.01075</f>
        <v>284.01074999999997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16.8085</f>
        <v>16.808499999999999</v>
      </c>
      <c r="G38" s="100">
        <f>431.55048</f>
        <v>431.55047999999999</v>
      </c>
      <c r="H38" s="100">
        <f t="shared" si="3"/>
        <v>419.44952000000001</v>
      </c>
      <c r="I38" s="100">
        <f>392.55437</f>
        <v>392.55437000000001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329</v>
      </c>
      <c r="G39" s="100">
        <f>F61</f>
        <v>2308</v>
      </c>
      <c r="H39" s="100">
        <f t="shared" si="3"/>
        <v>740</v>
      </c>
      <c r="I39" s="100">
        <f>H61</f>
        <v>862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18.09959</f>
        <v>18.099589999999999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7462.3781799999997</v>
      </c>
      <c r="G44" s="78">
        <f t="shared" si="4"/>
        <v>189668.49064</v>
      </c>
      <c r="H44" s="78">
        <f t="shared" si="4"/>
        <v>109027.50935999995</v>
      </c>
      <c r="I44" s="78">
        <f t="shared" si="4"/>
        <v>226877.62010999996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145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140</v>
      </c>
      <c r="F54" s="68" t="s">
        <v>141</v>
      </c>
      <c r="G54" s="68" t="s">
        <v>142</v>
      </c>
      <c r="H54" s="68" t="s">
        <v>143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0</v>
      </c>
      <c r="F60" s="97">
        <v>0</v>
      </c>
      <c r="G60" s="97">
        <f>D60-F60</f>
        <v>1200</v>
      </c>
      <c r="H60" s="97">
        <v>0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329</v>
      </c>
      <c r="F61" s="141">
        <v>2308</v>
      </c>
      <c r="G61" s="141">
        <f>D61-F61</f>
        <v>692</v>
      </c>
      <c r="H61" s="141">
        <v>862</v>
      </c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139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140</v>
      </c>
      <c r="G91" s="15" t="s">
        <v>141</v>
      </c>
      <c r="H91" s="15" t="s">
        <v>142</v>
      </c>
      <c r="I91" s="15" t="s">
        <v>143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535.77481999999998</v>
      </c>
      <c r="G92" s="11">
        <f t="shared" si="5"/>
        <v>32973.541720000001</v>
      </c>
      <c r="H92" s="11">
        <f t="shared" si="5"/>
        <v>1825.4582800000005</v>
      </c>
      <c r="I92" s="11">
        <f t="shared" si="5"/>
        <v>32331.572990000001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535.77482</f>
        <v>535.77481999999998</v>
      </c>
      <c r="G93" s="23">
        <f>32491.35918</f>
        <v>32491.359179999999</v>
      </c>
      <c r="H93" s="23">
        <f>E93-G93</f>
        <v>1495.6408200000005</v>
      </c>
      <c r="I93" s="23">
        <f>31765.26592</f>
        <v>31765.265920000002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482.18254</f>
        <v>482.18254000000002</v>
      </c>
      <c r="H94" s="52">
        <f>E94-G94</f>
        <v>329.81745999999998</v>
      </c>
      <c r="I94" s="52">
        <f>566.30707</f>
        <v>566.30706999999995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322.09287</v>
      </c>
      <c r="G95" s="11">
        <f t="shared" si="6"/>
        <v>13191.651280000002</v>
      </c>
      <c r="H95" s="11">
        <f t="shared" si="6"/>
        <v>46308.348720000002</v>
      </c>
      <c r="I95" s="11">
        <f t="shared" si="6"/>
        <v>15460.097009999998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274.72219999999999</v>
      </c>
      <c r="G96" s="134">
        <f t="shared" si="7"/>
        <v>8492.3417200000004</v>
      </c>
      <c r="H96" s="134">
        <f t="shared" si="7"/>
        <v>35998.658280000003</v>
      </c>
      <c r="I96" s="134">
        <f t="shared" si="7"/>
        <v>10771.545329999999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87.42222</f>
        <v>87.422219999999996</v>
      </c>
      <c r="G97" s="129">
        <f>1831.36839</f>
        <v>1831.3683900000001</v>
      </c>
      <c r="H97" s="129">
        <f t="shared" ref="H97:H104" si="8">E97-G97</f>
        <v>10052.331610000001</v>
      </c>
      <c r="I97" s="129">
        <f>1966.70611</f>
        <v>1966.7061100000001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100.49821</f>
        <v>100.49821</v>
      </c>
      <c r="G98" s="129">
        <f>2532.01425</f>
        <v>2532.0142500000002</v>
      </c>
      <c r="H98" s="129">
        <f t="shared" si="8"/>
        <v>10133.08575</v>
      </c>
      <c r="I98" s="129">
        <f>3531.8963</f>
        <v>3531.8962999999999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64.27417</f>
        <v>64.274169999999998</v>
      </c>
      <c r="G99" s="129">
        <f>1976.18957</f>
        <v>1976.18957</v>
      </c>
      <c r="H99" s="129">
        <f t="shared" si="8"/>
        <v>9989.4104299999999</v>
      </c>
      <c r="I99" s="129">
        <f>3410.59334</f>
        <v>3410.5933399999999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22.5276</f>
        <v>22.5276</v>
      </c>
      <c r="G100" s="129">
        <f>2152.76951</f>
        <v>2152.7695100000001</v>
      </c>
      <c r="H100" s="129">
        <f t="shared" si="8"/>
        <v>5823.8304900000003</v>
      </c>
      <c r="I100" s="129">
        <f>1862.34958</f>
        <v>1862.3495800000001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3.37104</f>
        <v>3.3710399999999998</v>
      </c>
      <c r="G101" s="134">
        <f>3664.02295</f>
        <v>3664.02295</v>
      </c>
      <c r="H101" s="134">
        <f t="shared" si="8"/>
        <v>6726.9770499999995</v>
      </c>
      <c r="I101" s="134">
        <f>3919.71733</f>
        <v>3919.7173299999999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43.99963</f>
        <v>43.999630000000003</v>
      </c>
      <c r="G102" s="77">
        <f>1035.28661</f>
        <v>1035.2866100000001</v>
      </c>
      <c r="H102" s="77">
        <f t="shared" si="8"/>
        <v>3582.7133899999999</v>
      </c>
      <c r="I102" s="77">
        <f>768.83435</f>
        <v>768.83434999999997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11.1417</f>
        <v>11.1417</v>
      </c>
      <c r="H103" s="100">
        <f t="shared" si="8"/>
        <v>308.85829999999999</v>
      </c>
      <c r="I103" s="100">
        <f>21.87064</f>
        <v>21.870640000000002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2.90992</f>
        <v>2.9099200000000001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860.7776100000001</v>
      </c>
      <c r="G107" s="78">
        <f t="shared" si="9"/>
        <v>46485.102499999986</v>
      </c>
      <c r="H107" s="78">
        <f t="shared" si="9"/>
        <v>48483.897500000014</v>
      </c>
      <c r="I107" s="78">
        <f t="shared" si="9"/>
        <v>48157.275419999998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146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140</v>
      </c>
      <c r="G127" s="15" t="s">
        <v>141</v>
      </c>
      <c r="H127" s="15" t="s">
        <v>142</v>
      </c>
      <c r="I127" s="15" t="s">
        <v>143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229.40280000000001</v>
      </c>
      <c r="G128" s="11">
        <f t="shared" si="10"/>
        <v>28556.422329999998</v>
      </c>
      <c r="H128" s="11">
        <f t="shared" si="10"/>
        <v>41984.577669999999</v>
      </c>
      <c r="I128" s="11">
        <f t="shared" si="10"/>
        <v>26912.76698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229.4028</f>
        <v>229.40280000000001</v>
      </c>
      <c r="G129" s="23">
        <f>24395.84353</f>
        <v>24395.843529999998</v>
      </c>
      <c r="H129" s="23">
        <f>E129-G129</f>
        <v>31696.156470000002</v>
      </c>
      <c r="I129" s="23">
        <f>21763.91742</f>
        <v>21763.917420000002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0</f>
        <v>0</v>
      </c>
      <c r="G130" s="23">
        <f>4160.5788</f>
        <v>4160.5788000000002</v>
      </c>
      <c r="H130" s="23">
        <f>E130-G130</f>
        <v>9788.4212000000007</v>
      </c>
      <c r="I130" s="23">
        <f>5148.84956</f>
        <v>5148.8495599999997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930.91</f>
        <v>930.91</v>
      </c>
      <c r="G132" s="97">
        <f>1349.48813+1241.063175</f>
        <v>2590.551305</v>
      </c>
      <c r="H132" s="97">
        <f>E132-G132</f>
        <v>46581.448694999999</v>
      </c>
      <c r="I132" s="97">
        <f>98.04078</f>
        <v>98.040779999999998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1302.6410000000001</v>
      </c>
      <c r="G133" s="96">
        <f t="shared" ref="G133" si="11">G134+G139+G142</f>
        <v>39269.815454999996</v>
      </c>
      <c r="H133" s="96">
        <f>H134+H139+H142</f>
        <v>41670.184544999996</v>
      </c>
      <c r="I133" s="96">
        <f>I134+I139+I142</f>
        <v>34212.241020000001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1067.9625699999999</v>
      </c>
      <c r="G134" s="127">
        <f>G135+G136+G138+G137</f>
        <v>31263.559354999998</v>
      </c>
      <c r="H134" s="127">
        <f>H135+H136+H137+H138</f>
        <v>28240.440645000002</v>
      </c>
      <c r="I134" s="127">
        <f>I135+I136+I137+I138</f>
        <v>26916.836640000001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267.90111</f>
        <v>267.90111000000002</v>
      </c>
      <c r="G135" s="129">
        <v>4932.3840899999996</v>
      </c>
      <c r="H135" s="129">
        <f>E135-G135</f>
        <v>12571.61591</v>
      </c>
      <c r="I135" s="129">
        <f>3816.36865</f>
        <v>3816.3686499999999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244.69686</f>
        <v>244.69685999999999</v>
      </c>
      <c r="G136" s="129">
        <v>9410.7180000000008</v>
      </c>
      <c r="H136" s="129">
        <f>E136-G136</f>
        <v>5673.2819999999992</v>
      </c>
      <c r="I136" s="129">
        <f>6972.52492</f>
        <v>6972.5249199999998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267.3744</f>
        <v>267.37439999999998</v>
      </c>
      <c r="G137" s="129">
        <v>8176.0379099999991</v>
      </c>
      <c r="H137" s="129">
        <f>E137-G137</f>
        <v>6846.9620900000009</v>
      </c>
      <c r="I137" s="129">
        <f>8380.7458</f>
        <v>8380.7458000000006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287.9902</f>
        <v>287.99020000000002</v>
      </c>
      <c r="G138" s="129">
        <v>8744.419355</v>
      </c>
      <c r="H138" s="129">
        <f>E138-G138</f>
        <v>3148.580645</v>
      </c>
      <c r="I138" s="129">
        <f>7747.19727</f>
        <v>7747.1972699999997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39.091200000000001</v>
      </c>
      <c r="G139" s="134">
        <f>SUM(G140:G141)</f>
        <v>5628.0221000000001</v>
      </c>
      <c r="H139" s="134">
        <f>H140+H141</f>
        <v>3803.9778999999999</v>
      </c>
      <c r="I139" s="134">
        <f>SUM(I140:I141)</f>
        <v>5291.3351000000002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31.28085</f>
        <v>31.280850000000001</v>
      </c>
      <c r="G140" s="129">
        <f>5510.66777</f>
        <v>5510.66777</v>
      </c>
      <c r="H140" s="129">
        <f t="shared" ref="H140:H147" si="12">E140-G140</f>
        <v>3421.33223</v>
      </c>
      <c r="I140" s="129">
        <f>5204.22779</f>
        <v>5204.2277899999999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7.81035</f>
        <v>7.8103499999999997</v>
      </c>
      <c r="G141" s="129">
        <f>117.35433</f>
        <v>117.35433</v>
      </c>
      <c r="H141" s="129">
        <f t="shared" si="12"/>
        <v>382.64567</v>
      </c>
      <c r="I141" s="129">
        <f>87.10731</f>
        <v>87.107309999999998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195.58723</f>
        <v>195.58723000000001</v>
      </c>
      <c r="G142" s="77">
        <f>2378.234</f>
        <v>2378.2339999999999</v>
      </c>
      <c r="H142" s="77">
        <f t="shared" si="12"/>
        <v>9625.7659999999996</v>
      </c>
      <c r="I142" s="77">
        <f>2004.06928</f>
        <v>2004.0692799999999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3</f>
        <v>3</v>
      </c>
      <c r="G143" s="141">
        <f>20.99741</f>
        <v>20.997409999999999</v>
      </c>
      <c r="H143" s="141">
        <f t="shared" si="12"/>
        <v>116.00259</v>
      </c>
      <c r="I143" s="141">
        <f>20.82827</f>
        <v>20.82827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0</f>
        <v>0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15.94938</f>
        <v>15.94938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2481.9031800000002</v>
      </c>
      <c r="G150" s="78">
        <f>G128+G132+G133+G143+G144+G145+G146+G147+G148</f>
        <v>72437.786499999987</v>
      </c>
      <c r="H150" s="78">
        <f>H128+H132+H133+H143+H144+H145+H146+H147+H148</f>
        <v>130797.2135</v>
      </c>
      <c r="I150" s="78">
        <f>I128+I132+I133+I143+I144+I145+I146+I147+I148</f>
        <v>63243.877049999996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144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147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140</v>
      </c>
      <c r="F174" s="15" t="s">
        <v>141</v>
      </c>
      <c r="G174" s="56" t="s">
        <v>142</v>
      </c>
      <c r="H174" s="15" t="s">
        <v>143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12.73948</f>
        <v>12.73948</v>
      </c>
      <c r="F175" s="274">
        <f>557.66216</f>
        <v>557.66215999999997</v>
      </c>
      <c r="G175" s="45">
        <f>D175-F175-F176</f>
        <v>4144.38958</v>
      </c>
      <c r="H175" s="274">
        <f>393.47837</f>
        <v>393.47836999999998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41.888</f>
        <v>41.887999999999998</v>
      </c>
      <c r="F176" s="154">
        <f>285.94826</f>
        <v>285.94826</v>
      </c>
      <c r="G176" s="215"/>
      <c r="H176" s="154">
        <f>554.49333</f>
        <v>554.49333000000001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32.37132</f>
        <v>32.371319999999997</v>
      </c>
      <c r="G177" s="174">
        <f>D177-F177</f>
        <v>167.62868</v>
      </c>
      <c r="H177" s="174">
        <f>32.254</f>
        <v>32.253999999999998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2.8770600000000002</v>
      </c>
      <c r="F178" s="183">
        <f>F179+F180+F181</f>
        <v>23.363399999999999</v>
      </c>
      <c r="G178" s="183">
        <f>D178-F178</f>
        <v>7457.6365999999998</v>
      </c>
      <c r="H178" s="183">
        <f>H179+H180+H181</f>
        <v>23.382639999999999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1.57922</f>
        <v>1.5792200000000001</v>
      </c>
      <c r="F179" s="129">
        <f>7.65092</f>
        <v>7.6509200000000002</v>
      </c>
      <c r="G179" s="129"/>
      <c r="H179" s="129">
        <f>1.84204</f>
        <v>1.8420399999999999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1.29784</f>
        <v>1.2978400000000001</v>
      </c>
      <c r="F180" s="129">
        <f>14.60836</f>
        <v>14.608359999999999</v>
      </c>
      <c r="G180" s="129"/>
      <c r="H180" s="129">
        <f>17.28147</f>
        <v>17.281469999999999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</f>
        <v>0</v>
      </c>
      <c r="F181" s="194">
        <f>1.10412</f>
        <v>1.10412</v>
      </c>
      <c r="G181" s="194"/>
      <c r="H181" s="194">
        <f>4.25913</f>
        <v>4.2591299999999999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57.504539999999999</v>
      </c>
      <c r="F184" s="196">
        <f>F175+F176+F177+F178+F182+F183</f>
        <v>899.3451399999999</v>
      </c>
      <c r="G184" s="196">
        <f>D184-F184</f>
        <v>11835.654860000001</v>
      </c>
      <c r="H184" s="196">
        <f>H175+H176+H177+H178+H182+H183</f>
        <v>1003.6083400000001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140</v>
      </c>
      <c r="F203" s="68" t="s">
        <v>141</v>
      </c>
      <c r="G203" s="68" t="s">
        <v>142</v>
      </c>
      <c r="H203" s="68" t="s">
        <v>143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51.65848</f>
        <v>51.658479999999997</v>
      </c>
      <c r="F204" s="124">
        <f>7793.5589</f>
        <v>7793.5589</v>
      </c>
      <c r="G204" s="124">
        <f>D204-F204</f>
        <v>36045.441099999996</v>
      </c>
      <c r="H204" s="124">
        <f>4432.68742</f>
        <v>4432.6874200000002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0.52343</f>
        <v>0.52342999999999995</v>
      </c>
      <c r="F205" s="124">
        <f>1.38667</f>
        <v>1.3866700000000001</v>
      </c>
      <c r="G205" s="124">
        <f>D205-F205</f>
        <v>98.613330000000005</v>
      </c>
      <c r="H205" s="124">
        <f>18.96536</f>
        <v>18.96536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52.181909999999995</v>
      </c>
      <c r="F207" s="190">
        <f>SUM(F204:F206)</f>
        <v>7794.9455699999999</v>
      </c>
      <c r="G207" s="190">
        <f>D207-F207</f>
        <v>36186.054430000004</v>
      </c>
      <c r="H207" s="190">
        <f>SUM(H204:H206)</f>
        <v>4451.6527800000003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140</v>
      </c>
      <c r="F257" s="68" t="s">
        <v>141</v>
      </c>
      <c r="G257" s="68" t="s">
        <v>142</v>
      </c>
      <c r="H257" s="68" t="s">
        <v>143</v>
      </c>
      <c r="I257" s="1"/>
      <c r="J257" s="118"/>
    </row>
    <row r="258" spans="1:10" ht="14.1" customHeight="1" x14ac:dyDescent="0.25">
      <c r="A258" s="70"/>
      <c r="B258" s="81"/>
      <c r="C258" s="90" t="s">
        <v>96</v>
      </c>
      <c r="D258" s="124">
        <v>800</v>
      </c>
      <c r="E258" s="124">
        <f>9.26327</f>
        <v>9.2632700000000003</v>
      </c>
      <c r="F258" s="124">
        <f>124.75328</f>
        <v>124.75328</v>
      </c>
      <c r="G258" s="124">
        <f>D258-F258</f>
        <v>675.24671999999998</v>
      </c>
      <c r="H258" s="124">
        <f>70.60621</f>
        <v>70.606210000000004</v>
      </c>
      <c r="I258" s="70"/>
      <c r="J258" s="242"/>
    </row>
    <row r="259" spans="1:10" ht="14.1" customHeight="1" x14ac:dyDescent="0.25">
      <c r="A259" s="1"/>
      <c r="B259" s="252"/>
      <c r="C259" s="90" t="s">
        <v>97</v>
      </c>
      <c r="D259" s="244">
        <v>2494</v>
      </c>
      <c r="E259" s="124">
        <f>18.9768</f>
        <v>18.976800000000001</v>
      </c>
      <c r="F259" s="124">
        <f>448.38566</f>
        <v>448.38565999999997</v>
      </c>
      <c r="G259" s="124">
        <f>D259-F259</f>
        <v>2045.6143400000001</v>
      </c>
      <c r="H259" s="124">
        <f>219.2838</f>
        <v>219.28380000000001</v>
      </c>
      <c r="I259" s="181"/>
      <c r="J259" s="118"/>
    </row>
    <row r="260" spans="1:10" ht="16.5" customHeight="1" x14ac:dyDescent="0.25">
      <c r="A260" s="70"/>
      <c r="B260" s="81"/>
      <c r="C260" s="146" t="s">
        <v>82</v>
      </c>
      <c r="D260" s="244">
        <v>5</v>
      </c>
      <c r="E260" s="168">
        <f>0.54516</f>
        <v>0.54515999999999998</v>
      </c>
      <c r="F260" s="168">
        <f>0.6352</f>
        <v>0.63519999999999999</v>
      </c>
      <c r="G260" s="124">
        <f>D260-F260</f>
        <v>4.3647999999999998</v>
      </c>
      <c r="H260" s="168">
        <f>0.357</f>
        <v>0.35699999999999998</v>
      </c>
      <c r="I260" s="70"/>
      <c r="J260" s="247"/>
    </row>
    <row r="261" spans="1:10" ht="18.75" customHeight="1" x14ac:dyDescent="0.25">
      <c r="A261" s="70"/>
      <c r="B261" s="248"/>
      <c r="C261" s="146" t="s">
        <v>98</v>
      </c>
      <c r="D261" s="220"/>
      <c r="E261" s="168">
        <f>0.0026</f>
        <v>2.5999999999999999E-3</v>
      </c>
      <c r="F261" s="168">
        <f>0.19282</f>
        <v>0.19281999999999999</v>
      </c>
      <c r="G261" s="124"/>
      <c r="H261" s="168">
        <f>0.97727</f>
        <v>0.97726999999999997</v>
      </c>
      <c r="I261" s="282"/>
      <c r="J261" s="122"/>
    </row>
    <row r="262" spans="1:10" ht="14.1" customHeight="1" x14ac:dyDescent="0.25">
      <c r="A262" s="1"/>
      <c r="B262" s="252"/>
      <c r="C262" s="179" t="s">
        <v>88</v>
      </c>
      <c r="D262" s="6">
        <f>D247</f>
        <v>3299</v>
      </c>
      <c r="E262" s="190">
        <f>SUM(E258:E261)</f>
        <v>28.787830000000003</v>
      </c>
      <c r="F262" s="190">
        <f>SUM(F258:F261)</f>
        <v>573.96695999999997</v>
      </c>
      <c r="G262" s="190">
        <f>D262-F262</f>
        <v>2725.0330400000003</v>
      </c>
      <c r="H262" s="190">
        <f>H258+H259+H260+H261</f>
        <v>291.22428000000002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140</v>
      </c>
      <c r="G287" s="221" t="s">
        <v>141</v>
      </c>
      <c r="H287" s="221" t="s">
        <v>142</v>
      </c>
      <c r="I287" s="221" t="s">
        <v>143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115.67660000000001</v>
      </c>
      <c r="G288" s="251">
        <f t="shared" si="14"/>
        <v>3174.2398800000001</v>
      </c>
      <c r="H288" s="251">
        <f>H292+H291+H290+H289</f>
        <v>12927.760119999999</v>
      </c>
      <c r="I288" s="251">
        <f t="shared" si="14"/>
        <v>1070.51242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0</f>
        <v>0</v>
      </c>
      <c r="G289" s="255">
        <f>1618.56418</f>
        <v>1618.5641800000001</v>
      </c>
      <c r="H289" s="255">
        <f t="shared" ref="H289:H293" si="15">E289-G289</f>
        <v>6558.4358199999997</v>
      </c>
      <c r="I289" s="255">
        <f>146.0295</f>
        <v>146.02950000000001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566.163</f>
        <v>566.16300000000001</v>
      </c>
      <c r="H290" s="255">
        <f t="shared" si="15"/>
        <v>1561.837</v>
      </c>
      <c r="I290" s="255">
        <f>437.3622</f>
        <v>437.36219999999997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101.7792</f>
        <v>101.7792</v>
      </c>
      <c r="G291" s="255">
        <f>712.25485</f>
        <v>712.25485000000003</v>
      </c>
      <c r="H291" s="255">
        <f t="shared" si="15"/>
        <v>644.74514999999997</v>
      </c>
      <c r="I291" s="255">
        <f>470.54552</f>
        <v>470.54552000000001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13.8974</f>
        <v>13.897399999999999</v>
      </c>
      <c r="G292" s="255">
        <f>277.25785</f>
        <v>277.25785000000002</v>
      </c>
      <c r="H292" s="255">
        <f t="shared" si="15"/>
        <v>4162.74215</v>
      </c>
      <c r="I292" s="255">
        <f>16.5752</f>
        <v>16.575199999999999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920.52464</f>
        <v>920.52463999999998</v>
      </c>
      <c r="G293" s="266">
        <f>1798.90966</f>
        <v>1798.90966</v>
      </c>
      <c r="H293" s="266">
        <f t="shared" si="15"/>
        <v>3701.0903399999997</v>
      </c>
      <c r="I293" s="266">
        <f>494.86324</f>
        <v>494.86324000000002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28.847360000000002</v>
      </c>
      <c r="G294" s="267">
        <f>G296+G295</f>
        <v>1572.1109999999999</v>
      </c>
      <c r="H294" s="267">
        <f>E294-G294</f>
        <v>6427.8890000000001</v>
      </c>
      <c r="I294" s="267">
        <f>I296+I295</f>
        <v>1486.6800800000001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4.12965</f>
        <v>4.1296499999999998</v>
      </c>
      <c r="G295" s="255">
        <f>746.70325</f>
        <v>746.70325000000003</v>
      </c>
      <c r="H295" s="255"/>
      <c r="I295" s="255">
        <f>889.49831</f>
        <v>889.49830999999995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24.71771</f>
        <v>24.71771</v>
      </c>
      <c r="G296" s="276">
        <f>825.40775</f>
        <v>825.40774999999996</v>
      </c>
      <c r="H296" s="276"/>
      <c r="I296" s="276">
        <f>597.18177</f>
        <v>597.18177000000003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0.0084</f>
        <v>8.3999999999999995E-3</v>
      </c>
      <c r="G297" s="266">
        <f>0.0651</f>
        <v>6.5100000000000005E-2</v>
      </c>
      <c r="H297" s="266">
        <f>E297-G297</f>
        <v>9.9349000000000007</v>
      </c>
      <c r="I297" s="266">
        <f>0.1377</f>
        <v>0.13769999999999999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0.10656</f>
        <v>0.10656</v>
      </c>
      <c r="G298" s="266">
        <f>22.93132</f>
        <v>22.931319999999999</v>
      </c>
      <c r="H298" s="266">
        <f>E298-G298</f>
        <v>-22.931319999999999</v>
      </c>
      <c r="I298" s="266">
        <f>13.03097</f>
        <v>13.03097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1065.1635599999997</v>
      </c>
      <c r="G299" s="285">
        <f t="shared" si="16"/>
        <v>6568.2569599999997</v>
      </c>
      <c r="H299" s="285">
        <f>H288+H293+H294+H297+H298</f>
        <v>23043.743039999998</v>
      </c>
      <c r="I299" s="285">
        <f t="shared" si="16"/>
        <v>3065.2244100000003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115</v>
      </c>
      <c r="D320" s="22" t="s">
        <v>116</v>
      </c>
      <c r="E320" s="20" t="s">
        <v>140</v>
      </c>
      <c r="F320" s="20" t="s">
        <v>141</v>
      </c>
      <c r="G320" s="25" t="s">
        <v>142</v>
      </c>
      <c r="H320" s="20" t="s">
        <v>143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78.001199999999997</v>
      </c>
      <c r="F321" s="26">
        <f>F323+F322</f>
        <v>2055.27063</v>
      </c>
      <c r="G321" s="87">
        <f>D321-F321</f>
        <v>185.72937000000002</v>
      </c>
      <c r="H321" s="26">
        <f>SUM(H322:H323)</f>
        <v>1278.7322300000001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51.7895</f>
        <v>51.789499999999997</v>
      </c>
      <c r="F322" s="207">
        <f>1609.92613</f>
        <v>1609.9261300000001</v>
      </c>
      <c r="G322" s="208"/>
      <c r="H322" s="207">
        <f>1001.52965</f>
        <v>1001.5296499999999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26.2117</f>
        <v>26.2117</v>
      </c>
      <c r="F323" s="210">
        <f>445.3445</f>
        <v>445.34449999999998</v>
      </c>
      <c r="G323" s="211"/>
      <c r="H323" s="210">
        <f>277.20258</f>
        <v>277.20258000000001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0</v>
      </c>
      <c r="F324" s="26">
        <f>SUM(F325:F326)</f>
        <v>0</v>
      </c>
      <c r="G324" s="87">
        <f>D324-F324</f>
        <v>1120</v>
      </c>
      <c r="H324" s="26">
        <f>SUM(H325:H326)</f>
        <v>0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0</f>
        <v>0</v>
      </c>
      <c r="F325" s="30">
        <f>0</f>
        <v>0</v>
      </c>
      <c r="G325" s="99"/>
      <c r="H325" s="30">
        <f>0</f>
        <v>0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0</f>
        <v>0</v>
      </c>
      <c r="F326" s="30">
        <f>0</f>
        <v>0</v>
      </c>
      <c r="G326" s="110"/>
      <c r="H326" s="30">
        <f>0</f>
        <v>0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78.001199999999997</v>
      </c>
      <c r="F331" s="42">
        <f>F321+F324+F327+F330</f>
        <v>2055.27063</v>
      </c>
      <c r="G331" s="43">
        <f>SUM(G321:G330)</f>
        <v>1305.72937</v>
      </c>
      <c r="H331" s="42">
        <f>H321+H324+H327+H330</f>
        <v>1278.7322300000001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16&amp;R24.04.2023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2023-04-24T07:38:56Z</dcterms:modified>
</cp:coreProperties>
</file>