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ameikl\Downloads\"/>
    </mc:Choice>
  </mc:AlternateContent>
  <xr:revisionPtr revIDLastSave="0" documentId="13_ncr:1_{D8DDD03F-9600-403C-BE29-70D70AFB62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3" i="1" l="1"/>
  <c r="G132" i="1"/>
  <c r="H132" i="1" s="1"/>
  <c r="H419" i="1"/>
  <c r="F419" i="1"/>
  <c r="E419" i="1"/>
  <c r="H418" i="1"/>
  <c r="H417" i="1" s="1"/>
  <c r="F418" i="1"/>
  <c r="F417" i="1" s="1"/>
  <c r="E418" i="1"/>
  <c r="E417" i="1" s="1"/>
  <c r="H416" i="1"/>
  <c r="F416" i="1"/>
  <c r="E416" i="1"/>
  <c r="E414" i="1" s="1"/>
  <c r="H415" i="1"/>
  <c r="H414" i="1" s="1"/>
  <c r="F415" i="1"/>
  <c r="F414" i="1" s="1"/>
  <c r="E415" i="1"/>
  <c r="H413" i="1"/>
  <c r="F413" i="1"/>
  <c r="F411" i="1" s="1"/>
  <c r="E413" i="1"/>
  <c r="H412" i="1"/>
  <c r="H411" i="1" s="1"/>
  <c r="H421" i="1" s="1"/>
  <c r="F412" i="1"/>
  <c r="E412" i="1"/>
  <c r="E411" i="1"/>
  <c r="I388" i="1"/>
  <c r="G388" i="1"/>
  <c r="H388" i="1" s="1"/>
  <c r="F388" i="1"/>
  <c r="I387" i="1"/>
  <c r="G387" i="1"/>
  <c r="H387" i="1" s="1"/>
  <c r="F387" i="1"/>
  <c r="I386" i="1"/>
  <c r="I384" i="1" s="1"/>
  <c r="G386" i="1"/>
  <c r="F386" i="1"/>
  <c r="F384" i="1" s="1"/>
  <c r="I385" i="1"/>
  <c r="G385" i="1"/>
  <c r="F385" i="1"/>
  <c r="G384" i="1"/>
  <c r="H384" i="1" s="1"/>
  <c r="I383" i="1"/>
  <c r="H383" i="1"/>
  <c r="G383" i="1"/>
  <c r="F383" i="1"/>
  <c r="I382" i="1"/>
  <c r="G382" i="1"/>
  <c r="G378" i="1" s="1"/>
  <c r="G389" i="1" s="1"/>
  <c r="F382" i="1"/>
  <c r="I381" i="1"/>
  <c r="I378" i="1" s="1"/>
  <c r="I389" i="1" s="1"/>
  <c r="H381" i="1"/>
  <c r="G381" i="1"/>
  <c r="F381" i="1"/>
  <c r="I380" i="1"/>
  <c r="G380" i="1"/>
  <c r="H380" i="1" s="1"/>
  <c r="F380" i="1"/>
  <c r="I379" i="1"/>
  <c r="H379" i="1"/>
  <c r="G379" i="1"/>
  <c r="F379" i="1"/>
  <c r="F378" i="1"/>
  <c r="E378" i="1"/>
  <c r="E389" i="1" s="1"/>
  <c r="D378" i="1"/>
  <c r="D389" i="1" s="1"/>
  <c r="H370" i="1"/>
  <c r="F370" i="1"/>
  <c r="D352" i="1"/>
  <c r="G352" i="1" s="1"/>
  <c r="H351" i="1"/>
  <c r="F351" i="1"/>
  <c r="E351" i="1"/>
  <c r="H350" i="1"/>
  <c r="F350" i="1"/>
  <c r="G350" i="1" s="1"/>
  <c r="E350" i="1"/>
  <c r="H349" i="1"/>
  <c r="G349" i="1"/>
  <c r="F349" i="1"/>
  <c r="E349" i="1"/>
  <c r="H348" i="1"/>
  <c r="H352" i="1" s="1"/>
  <c r="F348" i="1"/>
  <c r="F352" i="1" s="1"/>
  <c r="E348" i="1"/>
  <c r="E352" i="1" s="1"/>
  <c r="D341" i="1"/>
  <c r="H296" i="1"/>
  <c r="F296" i="1"/>
  <c r="E296" i="1"/>
  <c r="E297" i="1" s="1"/>
  <c r="H295" i="1"/>
  <c r="H297" i="1" s="1"/>
  <c r="F295" i="1"/>
  <c r="E295" i="1"/>
  <c r="H294" i="1"/>
  <c r="F294" i="1"/>
  <c r="F297" i="1" s="1"/>
  <c r="G297" i="1" s="1"/>
  <c r="E294" i="1"/>
  <c r="F252" i="1"/>
  <c r="G252" i="1" s="1"/>
  <c r="H251" i="1"/>
  <c r="F251" i="1"/>
  <c r="E251" i="1"/>
  <c r="H250" i="1"/>
  <c r="F250" i="1"/>
  <c r="E250" i="1"/>
  <c r="E252" i="1" s="1"/>
  <c r="H249" i="1"/>
  <c r="H252" i="1" s="1"/>
  <c r="F249" i="1"/>
  <c r="E249" i="1"/>
  <c r="D207" i="1"/>
  <c r="G207" i="1" s="1"/>
  <c r="G206" i="1"/>
  <c r="H205" i="1"/>
  <c r="H207" i="1" s="1"/>
  <c r="F205" i="1"/>
  <c r="G205" i="1" s="1"/>
  <c r="E205" i="1"/>
  <c r="H204" i="1"/>
  <c r="G204" i="1"/>
  <c r="F204" i="1"/>
  <c r="F207" i="1" s="1"/>
  <c r="E204" i="1"/>
  <c r="E207" i="1" s="1"/>
  <c r="D184" i="1"/>
  <c r="H182" i="1"/>
  <c r="F182" i="1"/>
  <c r="G182" i="1" s="1"/>
  <c r="E182" i="1"/>
  <c r="H181" i="1"/>
  <c r="F181" i="1"/>
  <c r="E181" i="1"/>
  <c r="H180" i="1"/>
  <c r="F180" i="1"/>
  <c r="E180" i="1"/>
  <c r="H179" i="1"/>
  <c r="H178" i="1" s="1"/>
  <c r="F179" i="1"/>
  <c r="F178" i="1" s="1"/>
  <c r="G178" i="1" s="1"/>
  <c r="E179" i="1"/>
  <c r="E178" i="1"/>
  <c r="H177" i="1"/>
  <c r="G177" i="1"/>
  <c r="F177" i="1"/>
  <c r="E177" i="1"/>
  <c r="H176" i="1"/>
  <c r="F176" i="1"/>
  <c r="E176" i="1"/>
  <c r="H175" i="1"/>
  <c r="H184" i="1" s="1"/>
  <c r="F175" i="1"/>
  <c r="E175" i="1"/>
  <c r="E184" i="1" s="1"/>
  <c r="D150" i="1"/>
  <c r="H147" i="1"/>
  <c r="H146" i="1"/>
  <c r="H145" i="1"/>
  <c r="F145" i="1"/>
  <c r="I144" i="1"/>
  <c r="G144" i="1"/>
  <c r="H144" i="1" s="1"/>
  <c r="F144" i="1"/>
  <c r="I143" i="1"/>
  <c r="H143" i="1"/>
  <c r="G143" i="1"/>
  <c r="F143" i="1"/>
  <c r="I142" i="1"/>
  <c r="G142" i="1"/>
  <c r="H142" i="1" s="1"/>
  <c r="F142" i="1"/>
  <c r="I141" i="1"/>
  <c r="G141" i="1"/>
  <c r="H141" i="1" s="1"/>
  <c r="F141" i="1"/>
  <c r="I140" i="1"/>
  <c r="I139" i="1" s="1"/>
  <c r="G140" i="1"/>
  <c r="G139" i="1" s="1"/>
  <c r="F140" i="1"/>
  <c r="F139" i="1" s="1"/>
  <c r="E139" i="1"/>
  <c r="I138" i="1"/>
  <c r="H138" i="1"/>
  <c r="F138" i="1"/>
  <c r="I137" i="1"/>
  <c r="H137" i="1"/>
  <c r="F137" i="1"/>
  <c r="I136" i="1"/>
  <c r="H136" i="1"/>
  <c r="F136" i="1"/>
  <c r="I135" i="1"/>
  <c r="H135" i="1"/>
  <c r="H134" i="1" s="1"/>
  <c r="F135" i="1"/>
  <c r="F134" i="1" s="1"/>
  <c r="F133" i="1" s="1"/>
  <c r="I134" i="1"/>
  <c r="G134" i="1"/>
  <c r="E134" i="1"/>
  <c r="E133" i="1"/>
  <c r="E150" i="1" s="1"/>
  <c r="I132" i="1"/>
  <c r="F132" i="1"/>
  <c r="H131" i="1"/>
  <c r="I130" i="1"/>
  <c r="I128" i="1" s="1"/>
  <c r="G130" i="1"/>
  <c r="G128" i="1" s="1"/>
  <c r="F130" i="1"/>
  <c r="I129" i="1"/>
  <c r="G129" i="1"/>
  <c r="H129" i="1" s="1"/>
  <c r="F129" i="1"/>
  <c r="F128" i="1"/>
  <c r="F150" i="1" s="1"/>
  <c r="E128" i="1"/>
  <c r="C126" i="1"/>
  <c r="H106" i="1"/>
  <c r="H105" i="1"/>
  <c r="H104" i="1"/>
  <c r="F104" i="1"/>
  <c r="I103" i="1"/>
  <c r="H103" i="1"/>
  <c r="G103" i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H99" i="1"/>
  <c r="G99" i="1"/>
  <c r="F99" i="1"/>
  <c r="I98" i="1"/>
  <c r="G98" i="1"/>
  <c r="H98" i="1" s="1"/>
  <c r="F98" i="1"/>
  <c r="F96" i="1" s="1"/>
  <c r="F95" i="1" s="1"/>
  <c r="I97" i="1"/>
  <c r="I96" i="1" s="1"/>
  <c r="I95" i="1" s="1"/>
  <c r="H97" i="1"/>
  <c r="H96" i="1" s="1"/>
  <c r="H95" i="1" s="1"/>
  <c r="G97" i="1"/>
  <c r="F97" i="1"/>
  <c r="E96" i="1"/>
  <c r="E95" i="1" s="1"/>
  <c r="E107" i="1" s="1"/>
  <c r="D96" i="1"/>
  <c r="D95" i="1"/>
  <c r="D107" i="1" s="1"/>
  <c r="I94" i="1"/>
  <c r="I92" i="1" s="1"/>
  <c r="H94" i="1"/>
  <c r="G94" i="1"/>
  <c r="F94" i="1"/>
  <c r="I93" i="1"/>
  <c r="G93" i="1"/>
  <c r="G92" i="1" s="1"/>
  <c r="F93" i="1"/>
  <c r="F92" i="1" s="1"/>
  <c r="E92" i="1"/>
  <c r="C89" i="1"/>
  <c r="H85" i="1"/>
  <c r="F85" i="1"/>
  <c r="D85" i="1"/>
  <c r="G61" i="1"/>
  <c r="G60" i="1"/>
  <c r="H55" i="1"/>
  <c r="I32" i="1" s="1"/>
  <c r="F55" i="1"/>
  <c r="G55" i="1" s="1"/>
  <c r="E55" i="1"/>
  <c r="F32" i="1" s="1"/>
  <c r="E44" i="1"/>
  <c r="D44" i="1"/>
  <c r="H43" i="1"/>
  <c r="H42" i="1"/>
  <c r="H41" i="1"/>
  <c r="H40" i="1"/>
  <c r="F40" i="1"/>
  <c r="I39" i="1"/>
  <c r="G39" i="1"/>
  <c r="H39" i="1" s="1"/>
  <c r="F39" i="1"/>
  <c r="I38" i="1"/>
  <c r="H38" i="1"/>
  <c r="G38" i="1"/>
  <c r="F38" i="1"/>
  <c r="I37" i="1"/>
  <c r="G37" i="1"/>
  <c r="H37" i="1" s="1"/>
  <c r="F37" i="1"/>
  <c r="I36" i="1"/>
  <c r="H36" i="1"/>
  <c r="G36" i="1"/>
  <c r="F36" i="1"/>
  <c r="I35" i="1"/>
  <c r="I34" i="1" s="1"/>
  <c r="G35" i="1"/>
  <c r="G34" i="1" s="1"/>
  <c r="F35" i="1"/>
  <c r="F34" i="1" s="1"/>
  <c r="I33" i="1"/>
  <c r="G33" i="1"/>
  <c r="H33" i="1" s="1"/>
  <c r="F33" i="1"/>
  <c r="G32" i="1"/>
  <c r="H32" i="1" s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G28" i="1"/>
  <c r="H28" i="1" s="1"/>
  <c r="F28" i="1"/>
  <c r="I25" i="1"/>
  <c r="G25" i="1"/>
  <c r="G23" i="1" s="1"/>
  <c r="F25" i="1"/>
  <c r="I24" i="1"/>
  <c r="I23" i="1" s="1"/>
  <c r="H24" i="1"/>
  <c r="G24" i="1"/>
  <c r="F24" i="1"/>
  <c r="F23" i="1"/>
  <c r="H16" i="1"/>
  <c r="F16" i="1"/>
  <c r="D16" i="1"/>
  <c r="I27" i="1" l="1"/>
  <c r="I26" i="1" s="1"/>
  <c r="I44" i="1" s="1"/>
  <c r="G27" i="1"/>
  <c r="I107" i="1"/>
  <c r="F421" i="1"/>
  <c r="G150" i="1"/>
  <c r="F107" i="1"/>
  <c r="I150" i="1"/>
  <c r="H27" i="1"/>
  <c r="I133" i="1"/>
  <c r="F389" i="1"/>
  <c r="E421" i="1"/>
  <c r="G26" i="1"/>
  <c r="G44" i="1" s="1"/>
  <c r="H34" i="1"/>
  <c r="F27" i="1"/>
  <c r="F26" i="1" s="1"/>
  <c r="F44" i="1" s="1"/>
  <c r="F184" i="1"/>
  <c r="G184" i="1" s="1"/>
  <c r="G96" i="1"/>
  <c r="G95" i="1" s="1"/>
  <c r="G107" i="1" s="1"/>
  <c r="H130" i="1"/>
  <c r="H128" i="1" s="1"/>
  <c r="H140" i="1"/>
  <c r="H139" i="1" s="1"/>
  <c r="H133" i="1" s="1"/>
  <c r="G175" i="1"/>
  <c r="H25" i="1"/>
  <c r="H23" i="1" s="1"/>
  <c r="H35" i="1"/>
  <c r="H93" i="1"/>
  <c r="H92" i="1" s="1"/>
  <c r="H107" i="1" s="1"/>
  <c r="G348" i="1"/>
  <c r="H382" i="1"/>
  <c r="H378" i="1" s="1"/>
  <c r="H389" i="1" s="1"/>
  <c r="H150" i="1" l="1"/>
  <c r="H26" i="1"/>
  <c r="H44" i="1" s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<sst xmlns="http://schemas.openxmlformats.org/spreadsheetml/2006/main" count="358" uniqueCount="150">
  <si>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</si>
  <si>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</si>
  <si>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</si>
  <si>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</si>
  <si>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</si>
  <si>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</si>
  <si>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</si>
  <si>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</si>
  <si>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</si>
  <si>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</si>
  <si>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</si>
  <si>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</si>
  <si>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</si>
  <si>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</si>
  <si>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</si>
  <si>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</si>
  <si>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</si>
  <si>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</si>
  <si>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</si>
  <si>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</si>
  <si>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</si>
  <si>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</si>
  <si>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</si>
  <si>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</si>
  <si>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</si>
  <si>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</si>
  <si>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</si>
  <si>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</si>
  <si>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</si>
  <si>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</si>
  <si>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</si>
  <si>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</si>
  <si>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</si>
  <si>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</si>
  <si>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</si>
  <si>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</si>
  <si>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</si>
  <si>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</si>
  <si>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</si>
  <si>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</si>
  <si>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</si>
  <si>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</si>
  <si>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</si>
  <si>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</si>
  <si>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</si>
  <si>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</si>
  <si>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</si>
  <si>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</si>
  <si>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</si>
  <si>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</si>
  <si>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</si>
  <si>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</si>
  <si>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</si>
  <si>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</si>
  <si>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</si>
  <si>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</si>
  <si>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</si>
  <si>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</si>
  <si>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</si>
  <si>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</si>
  <si>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</si>
  <si>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</si>
  <si>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</si>
  <si>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</si>
  <si>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</si>
  <si>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</si>
  <si>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</si>
  <si>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</si>
  <si>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</si>
  <si>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</si>
  <si>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</si>
  <si>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</si>
  <si>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</si>
  <si>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</si>
  <si>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</si>
  <si>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</si>
  <si>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</si>
  <si>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</si>
  <si>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</si>
  <si>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</si>
  <si>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</si>
  <si>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</si>
  <si>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</si>
  <si>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</si>
  <si>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</si>
  <si>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</si>
  <si>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</si>
  <si>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</si>
  <si>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</si>
  <si>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</si>
  <si>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</si>
  <si>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</si>
  <si>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</si>
  <si>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</si>
  <si>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</si>
  <si>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</si>
  <si>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</si>
  <si>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</si>
  <si>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</si>
  <si>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</si>
  <si>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</si>
  <si>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</si>
  <si>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</si>
  <si>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</si>
  <si>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</si>
  <si>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</si>
  <si>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</si>
  <si>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</si>
  <si>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</si>
  <si>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</si>
  <si>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</si>
  <si>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</si>
  <si>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</si>
  <si>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</si>
  <si>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</si>
  <si>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</si>
  <si>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</si>
  <si>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</si>
  <si>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</si>
  <si>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</si>
  <si>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</si>
  <si>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</si>
  <si>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</si>
  <si>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</si>
  <si>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</si>
  <si>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</si>
  <si>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</si>
  <si>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</si>
  <si>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</si>
  <si>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</si>
  <si>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</si>
  <si>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</si>
  <si>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</si>
  <si>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</si>
  <si>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</si>
  <si>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</si>
  <si>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</si>
  <si>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</si>
  <si>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</si>
  <si>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</si>
  <si>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t>Grunnet endringer i reguleringen, er fangstene ikke avregnet periodekvoter. Fangsttallene gjelder for hele 2023.</t>
  </si>
  <si>
    <t>Statistikk i henhold til ny regulering kommer på et senere tidspunkt.</t>
  </si>
  <si>
    <t>FANGST UKE 36</t>
  </si>
  <si>
    <t>FANGST T.O.M UKE 36</t>
  </si>
  <si>
    <t>RESTKVOTER UKE 36</t>
  </si>
  <si>
    <t>FANGST T.O.M UKE 36 2022</t>
  </si>
  <si>
    <r>
      <t xml:space="preserve">3 </t>
    </r>
    <r>
      <rPr>
        <sz val="9"/>
        <color indexed="8"/>
        <rFont val="Calibri"/>
        <family val="2"/>
      </rPr>
      <t>Registrert rekreasjonsfiske utgjør 695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</si>
  <si>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65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</si>
  <si>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631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</si>
  <si>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6 400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</si>
</sst>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view="pageLayout" zoomScale="85" zoomScaleNormal="85" zoomScaleSheetLayoutView="100" zoomScalePageLayoutView="85" workbookViewId="0"/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0" t="s">
        <v>139</v>
      </c>
      <c r="C2" s="291"/>
      <c r="D2" s="291"/>
      <c r="E2" s="291"/>
      <c r="F2" s="291"/>
      <c r="G2" s="291"/>
      <c r="H2" s="291"/>
      <c r="I2" s="291"/>
      <c r="J2" s="292"/>
    </row>
    <row r="3" spans="1:10" ht="14.85" customHeight="1" x14ac:dyDescent="0.25">
      <c r="A3" s="1"/>
      <c r="B3" s="1"/>
      <c r="C3" s="1" t="s">
        <v>119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119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119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119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119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3"/>
      <c r="C9" s="294"/>
      <c r="D9" s="294"/>
      <c r="E9" s="294"/>
      <c r="F9" s="294"/>
      <c r="G9" s="294"/>
      <c r="H9" s="294"/>
      <c r="I9" s="294"/>
      <c r="J9" s="295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6" t="s">
        <v>1</v>
      </c>
      <c r="D11" s="297"/>
      <c r="E11" s="296" t="s">
        <v>2</v>
      </c>
      <c r="F11" s="297"/>
      <c r="G11" s="296" t="s">
        <v>3</v>
      </c>
      <c r="H11" s="297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135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70.433999999999997</v>
      </c>
      <c r="G23" s="28">
        <f t="shared" si="0"/>
        <v>55266.877619999999</v>
      </c>
      <c r="H23" s="11">
        <f t="shared" si="0"/>
        <v>31560.122379999997</v>
      </c>
      <c r="I23" s="11">
        <f t="shared" si="0"/>
        <v>71865.492999999988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39.0285</f>
        <v>39.028500000000001</v>
      </c>
      <c r="G24" s="23">
        <f>54863.88227</f>
        <v>54863.882270000002</v>
      </c>
      <c r="H24" s="23">
        <f>E24-G24</f>
        <v>31181.117729999998</v>
      </c>
      <c r="I24" s="23">
        <f>71481.41603</f>
        <v>71481.416029999993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31.4055</f>
        <v>31.4055</v>
      </c>
      <c r="G25" s="23">
        <f>402.99535</f>
        <v>402.99534999999997</v>
      </c>
      <c r="H25" s="23">
        <f>E25-G25</f>
        <v>379.00465000000003</v>
      </c>
      <c r="I25" s="23">
        <f>384.07697</f>
        <v>384.07697000000002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677.32702999999992</v>
      </c>
      <c r="G26" s="11">
        <f t="shared" si="1"/>
        <v>175837.8149</v>
      </c>
      <c r="H26" s="11">
        <f t="shared" si="1"/>
        <v>21732.185099999999</v>
      </c>
      <c r="I26" s="11">
        <f t="shared" si="1"/>
        <v>211490.84184000001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622.73537999999996</v>
      </c>
      <c r="G27" s="134">
        <f t="shared" ref="G27:I27" si="2">G28+G29+G30+G31+G32</f>
        <v>138860.36368000001</v>
      </c>
      <c r="H27" s="134">
        <f t="shared" si="2"/>
        <v>13790.636319999998</v>
      </c>
      <c r="I27" s="134">
        <f t="shared" si="2"/>
        <v>172174.56735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53.74025</f>
        <v>53.740250000000003</v>
      </c>
      <c r="G28" s="129">
        <f>37065.40486 - F57</f>
        <v>35569.404860000002</v>
      </c>
      <c r="H28" s="129">
        <f t="shared" ref="H28:H40" si="3">E28-G28</f>
        <v>3979.5951399999976</v>
      </c>
      <c r="I28" s="129">
        <f>43102.76187 - H57</f>
        <v>41247.761870000002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174.05641</f>
        <v>174.05641</v>
      </c>
      <c r="G29" s="129">
        <f>39128.91788 - F58</f>
        <v>36817.917880000001</v>
      </c>
      <c r="H29" s="129">
        <f t="shared" si="3"/>
        <v>3946.0821199999991</v>
      </c>
      <c r="I29" s="129">
        <f>47560.10156 - H58</f>
        <v>45961.101560000003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68.4986</f>
        <v>68.498599999999996</v>
      </c>
      <c r="G30" s="129">
        <f>37242.10759 - F59</f>
        <v>36132.10759</v>
      </c>
      <c r="H30" s="129">
        <f t="shared" si="3"/>
        <v>1134.8924100000004</v>
      </c>
      <c r="I30" s="129">
        <f>47473.23636 - H59</f>
        <v>46552.236360000003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85.44012</f>
        <v>85.440119999999993</v>
      </c>
      <c r="G31" s="129">
        <f>25249.93335 - F60</f>
        <v>24749.933349999999</v>
      </c>
      <c r="H31" s="129">
        <f t="shared" si="3"/>
        <v>657.06665000000066</v>
      </c>
      <c r="I31" s="129">
        <f>33989.46756 - H60</f>
        <v>33425.467559999997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241</v>
      </c>
      <c r="G32" s="129">
        <f>F55</f>
        <v>5591</v>
      </c>
      <c r="H32" s="129">
        <f t="shared" si="3"/>
        <v>4073</v>
      </c>
      <c r="I32" s="129">
        <f>H55</f>
        <v>4988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0.10266</f>
        <v>0.10266</v>
      </c>
      <c r="G33" s="134">
        <f>15860.62903</f>
        <v>15860.62903</v>
      </c>
      <c r="H33" s="134">
        <f t="shared" si="3"/>
        <v>7725.3709699999999</v>
      </c>
      <c r="I33" s="134">
        <f>18613.91473</f>
        <v>18613.91473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54.488990000000001</v>
      </c>
      <c r="G34" s="134">
        <f>G35+G36</f>
        <v>21116.822189999999</v>
      </c>
      <c r="H34" s="134">
        <f t="shared" si="3"/>
        <v>216.17781000000105</v>
      </c>
      <c r="I34" s="134">
        <f>I35+I36</f>
        <v>20702.359759999999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35.48899</f>
        <v>35.488990000000001</v>
      </c>
      <c r="G35" s="134">
        <f>24991.82219 - F61 - F62</f>
        <v>20616.822189999999</v>
      </c>
      <c r="H35" s="129">
        <f t="shared" si="3"/>
        <v>-483.82218999999895</v>
      </c>
      <c r="I35" s="129">
        <f>21806.35976 - H61 - H62</f>
        <v>20138.359759999999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19</v>
      </c>
      <c r="G36" s="73">
        <f>F60</f>
        <v>500</v>
      </c>
      <c r="H36" s="73">
        <f t="shared" si="3"/>
        <v>700</v>
      </c>
      <c r="I36" s="73">
        <f>H60</f>
        <v>564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560.0937</f>
        <v>560.09370000000001</v>
      </c>
      <c r="H37" s="141">
        <f t="shared" si="3"/>
        <v>2439.9063000000001</v>
      </c>
      <c r="I37" s="141">
        <f>333.80295</f>
        <v>333.80295000000001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0.003</f>
        <v>3.0000000000000001E-3</v>
      </c>
      <c r="G38" s="100">
        <f>488.24024</f>
        <v>488.24023999999997</v>
      </c>
      <c r="H38" s="100">
        <f t="shared" si="3"/>
        <v>362.75976000000003</v>
      </c>
      <c r="I38" s="100">
        <f>460.45963</f>
        <v>460.45963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9</v>
      </c>
      <c r="G39" s="100">
        <f>F61</f>
        <v>4375</v>
      </c>
      <c r="H39" s="100">
        <f t="shared" si="3"/>
        <v>-1327</v>
      </c>
      <c r="I39" s="100">
        <f>H61</f>
        <v>1668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1.0443</f>
        <v>1.0443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757.81132999999988</v>
      </c>
      <c r="G44" s="78">
        <f t="shared" si="4"/>
        <v>243607.58746000001</v>
      </c>
      <c r="H44" s="78">
        <f t="shared" si="4"/>
        <v>55088.412539999968</v>
      </c>
      <c r="I44" s="78">
        <f t="shared" si="4"/>
        <v>292939.53584999999</v>
      </c>
      <c r="J44" s="242"/>
    </row>
    <row r="45" spans="1:13" ht="14.1" customHeight="1" x14ac:dyDescent="0.25">
      <c r="A45" s="101"/>
      <c r="B45" s="24"/>
      <c r="C45" s="80" t="s">
        <v>127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146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126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8" t="s">
        <v>44</v>
      </c>
      <c r="D52" s="298"/>
      <c r="E52" s="298"/>
      <c r="F52" s="298"/>
      <c r="G52" s="298"/>
      <c r="H52" s="298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142</v>
      </c>
      <c r="F54" s="68" t="s">
        <v>143</v>
      </c>
      <c r="G54" s="68" t="s">
        <v>144</v>
      </c>
      <c r="H54" s="68" t="s">
        <v>145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9">
        <v>9840</v>
      </c>
      <c r="E55" s="11">
        <f>E59+E58+E57+E56</f>
        <v>241</v>
      </c>
      <c r="F55" s="11">
        <f>F59+F58+F57+F56</f>
        <v>5591</v>
      </c>
      <c r="G55" s="299">
        <f>D55-F55</f>
        <v>4249</v>
      </c>
      <c r="H55" s="11">
        <f>H59+H58+H57+H56</f>
        <v>4988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300"/>
      <c r="E56" s="129">
        <v>35</v>
      </c>
      <c r="F56" s="129">
        <v>674</v>
      </c>
      <c r="G56" s="300"/>
      <c r="H56" s="129">
        <v>613</v>
      </c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300"/>
      <c r="E57" s="129">
        <v>111</v>
      </c>
      <c r="F57" s="129">
        <v>1496</v>
      </c>
      <c r="G57" s="300"/>
      <c r="H57" s="129">
        <v>1855</v>
      </c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300"/>
      <c r="E58" s="129">
        <v>66</v>
      </c>
      <c r="F58" s="129">
        <v>2311</v>
      </c>
      <c r="G58" s="300"/>
      <c r="H58" s="129">
        <v>1599</v>
      </c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301"/>
      <c r="E59" s="194">
        <v>29</v>
      </c>
      <c r="F59" s="194">
        <v>1110</v>
      </c>
      <c r="G59" s="301"/>
      <c r="H59" s="194">
        <v>921</v>
      </c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19</v>
      </c>
      <c r="F60" s="97">
        <v>500</v>
      </c>
      <c r="G60" s="97">
        <f>D60-F60</f>
        <v>700</v>
      </c>
      <c r="H60" s="97">
        <v>564</v>
      </c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9</v>
      </c>
      <c r="F61" s="141">
        <v>4375</v>
      </c>
      <c r="G61" s="141">
        <f>D61-F61</f>
        <v>-1375</v>
      </c>
      <c r="H61" s="141">
        <v>1668</v>
      </c>
      <c r="I61" s="256"/>
      <c r="J61" s="242"/>
    </row>
    <row r="62" spans="1:10" ht="14.1" customHeight="1" x14ac:dyDescent="0.25">
      <c r="A62" s="101"/>
      <c r="B62" s="24"/>
      <c r="C62" s="80" t="s">
        <v>123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119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6" t="s">
        <v>1</v>
      </c>
      <c r="D81" s="297"/>
      <c r="E81" s="296" t="s">
        <v>2</v>
      </c>
      <c r="F81" s="302"/>
      <c r="G81" s="296" t="s">
        <v>3</v>
      </c>
      <c r="H81" s="297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136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142</v>
      </c>
      <c r="G91" s="15" t="s">
        <v>143</v>
      </c>
      <c r="H91" s="15" t="s">
        <v>144</v>
      </c>
      <c r="I91" s="15" t="s">
        <v>145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71.209460000000007</v>
      </c>
      <c r="G92" s="11">
        <f t="shared" si="5"/>
        <v>39374.789769999996</v>
      </c>
      <c r="H92" s="11">
        <f t="shared" si="5"/>
        <v>-4575.7897699999985</v>
      </c>
      <c r="I92" s="11">
        <f t="shared" si="5"/>
        <v>36366.138989999999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67.44486</f>
        <v>67.444860000000006</v>
      </c>
      <c r="G93" s="23">
        <f>38867.28578</f>
        <v>38867.285779999998</v>
      </c>
      <c r="H93" s="23">
        <f>E93-G93</f>
        <v>-4880.2857799999983</v>
      </c>
      <c r="I93" s="23">
        <f>35651.31852</f>
        <v>35651.318520000001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3.7646</f>
        <v>3.7646000000000002</v>
      </c>
      <c r="G94" s="52">
        <f>507.50399</f>
        <v>507.50398999999999</v>
      </c>
      <c r="H94" s="52">
        <f>E94-G94</f>
        <v>304.49601000000001</v>
      </c>
      <c r="I94" s="52">
        <f>714.82047</f>
        <v>714.82047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258.26582000000002</v>
      </c>
      <c r="G95" s="11">
        <f t="shared" si="6"/>
        <v>28283.604100000004</v>
      </c>
      <c r="H95" s="11">
        <f t="shared" si="6"/>
        <v>31216.395900000003</v>
      </c>
      <c r="I95" s="11">
        <f t="shared" si="6"/>
        <v>33136.917580000001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237.42271</v>
      </c>
      <c r="G96" s="134">
        <f t="shared" si="7"/>
        <v>20446.788080000002</v>
      </c>
      <c r="H96" s="134">
        <f t="shared" si="7"/>
        <v>24044.211920000002</v>
      </c>
      <c r="I96" s="134">
        <f t="shared" si="7"/>
        <v>25991.664720000001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46.90488</f>
        <v>46.904879999999999</v>
      </c>
      <c r="G97" s="129">
        <f>3013.10701</f>
        <v>3013.1070100000002</v>
      </c>
      <c r="H97" s="129">
        <f t="shared" ref="H97:H104" si="8">E97-G97</f>
        <v>8870.592990000001</v>
      </c>
      <c r="I97" s="129">
        <f>2907.96501</f>
        <v>2907.9650099999999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66.10563</f>
        <v>66.105630000000005</v>
      </c>
      <c r="G98" s="129">
        <f>6045.9986</f>
        <v>6045.9985999999999</v>
      </c>
      <c r="H98" s="129">
        <f t="shared" si="8"/>
        <v>6619.1014000000005</v>
      </c>
      <c r="I98" s="129">
        <f>8809.85092</f>
        <v>8809.8509200000008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18.66812</f>
        <v>18.668119999999998</v>
      </c>
      <c r="G99" s="129">
        <f>6293.80577</f>
        <v>6293.8057699999999</v>
      </c>
      <c r="H99" s="129">
        <f t="shared" si="8"/>
        <v>5671.7942300000004</v>
      </c>
      <c r="I99" s="129">
        <f>7186.58542</f>
        <v>7186.5854200000003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105.74408</f>
        <v>105.74408</v>
      </c>
      <c r="G100" s="129">
        <f>5093.8767</f>
        <v>5093.8766999999998</v>
      </c>
      <c r="H100" s="129">
        <f t="shared" si="8"/>
        <v>2882.7233000000006</v>
      </c>
      <c r="I100" s="129">
        <f>7087.26337</f>
        <v>7087.2633699999997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1.66108</f>
        <v>1.6610799999999999</v>
      </c>
      <c r="G101" s="134">
        <f>6336.23558</f>
        <v>6336.2355799999996</v>
      </c>
      <c r="H101" s="134">
        <f t="shared" si="8"/>
        <v>4054.7644200000004</v>
      </c>
      <c r="I101" s="134">
        <f>5881.95006</f>
        <v>5881.9500600000001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19.18203</f>
        <v>19.182030000000001</v>
      </c>
      <c r="G102" s="77">
        <f>1500.58044</f>
        <v>1500.58044</v>
      </c>
      <c r="H102" s="77">
        <f t="shared" si="8"/>
        <v>3117.4195600000003</v>
      </c>
      <c r="I102" s="77">
        <f>1263.3028</f>
        <v>1263.3027999999999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11.24867</f>
        <v>11.248670000000001</v>
      </c>
      <c r="H103" s="100">
        <f t="shared" si="8"/>
        <v>308.75133</v>
      </c>
      <c r="I103" s="100">
        <f>21.99483</f>
        <v>21.99483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0.12158</f>
        <v>0.12157999999999999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329.59685999999999</v>
      </c>
      <c r="G107" s="78">
        <f t="shared" si="9"/>
        <v>67978.410339999988</v>
      </c>
      <c r="H107" s="78">
        <f t="shared" si="9"/>
        <v>26990.589660000016</v>
      </c>
      <c r="I107" s="78">
        <f t="shared" si="9"/>
        <v>69868.786179999996</v>
      </c>
      <c r="J107" s="242"/>
    </row>
    <row r="108" spans="1:10" ht="13.5" customHeight="1" x14ac:dyDescent="0.25">
      <c r="A108" s="1"/>
      <c r="B108" s="252"/>
      <c r="C108" s="80" t="s">
        <v>125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147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124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119</v>
      </c>
      <c r="D113" s="226"/>
      <c r="E113" s="226"/>
      <c r="F113" s="226"/>
      <c r="G113" s="226"/>
      <c r="H113" s="226"/>
      <c r="I113" s="101"/>
      <c r="J113" s="101" t="s">
        <v>119</v>
      </c>
    </row>
    <row r="114" spans="1:10" ht="14.25" customHeight="1" x14ac:dyDescent="0.25">
      <c r="A114" s="1"/>
      <c r="B114" s="101"/>
      <c r="C114" s="101" t="s">
        <v>119</v>
      </c>
      <c r="D114" s="101" t="s">
        <v>119</v>
      </c>
      <c r="E114" s="101"/>
      <c r="F114" s="101"/>
      <c r="G114" s="101"/>
      <c r="H114" s="101"/>
      <c r="I114" s="101"/>
      <c r="J114" s="101" t="s">
        <v>119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212994</v>
      </c>
      <c r="E119" s="102" t="s">
        <v>4</v>
      </c>
      <c r="F119" s="116">
        <v>77294</v>
      </c>
      <c r="G119" s="117" t="s">
        <v>5</v>
      </c>
      <c r="H119" s="116">
        <v>8732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79383</v>
      </c>
      <c r="G120" s="117" t="s">
        <v>8</v>
      </c>
      <c r="H120" s="119">
        <v>59537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1700</v>
      </c>
      <c r="E121" s="117" t="s">
        <v>60</v>
      </c>
      <c r="F121" s="119">
        <v>52226</v>
      </c>
      <c r="G121" s="117" t="s">
        <v>11</v>
      </c>
      <c r="H121" s="119">
        <v>11114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212994</v>
      </c>
      <c r="G123" s="180" t="s">
        <v>7</v>
      </c>
      <c r="H123" s="35">
        <v>79383</v>
      </c>
      <c r="I123" s="181"/>
      <c r="J123" s="242"/>
    </row>
    <row r="124" spans="1:10" ht="12" customHeight="1" x14ac:dyDescent="0.25">
      <c r="A124" s="101"/>
      <c r="B124" s="24"/>
      <c r="C124" s="101" t="s">
        <v>128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142</v>
      </c>
      <c r="G127" s="15" t="s">
        <v>143</v>
      </c>
      <c r="H127" s="15" t="s">
        <v>144</v>
      </c>
      <c r="I127" s="15" t="s">
        <v>145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77294</v>
      </c>
      <c r="E128" s="28">
        <f t="shared" ref="E128" si="10">E129+E130+E131</f>
        <v>70707</v>
      </c>
      <c r="F128" s="11">
        <f t="shared" ref="F128:I128" si="11">F129+F130+F131</f>
        <v>1313.5216500000001</v>
      </c>
      <c r="G128" s="11">
        <f t="shared" si="11"/>
        <v>46530.920809999996</v>
      </c>
      <c r="H128" s="11">
        <f t="shared" si="11"/>
        <v>24176.079190000004</v>
      </c>
      <c r="I128" s="11">
        <f t="shared" si="11"/>
        <v>44167.631329999997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61835</v>
      </c>
      <c r="E129" s="48">
        <v>56225</v>
      </c>
      <c r="F129" s="23">
        <f>1046.277</f>
        <v>1046.277</v>
      </c>
      <c r="G129" s="23">
        <f>41049.47674</f>
        <v>41049.476739999998</v>
      </c>
      <c r="H129" s="23">
        <f>E129-G129</f>
        <v>15175.523260000002</v>
      </c>
      <c r="I129" s="23">
        <f>37686.74217</f>
        <v>37686.742169999998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14959</v>
      </c>
      <c r="E130" s="48">
        <v>13982</v>
      </c>
      <c r="F130" s="23">
        <f>267.24465</f>
        <v>267.24464999999998</v>
      </c>
      <c r="G130" s="23">
        <f>5481.44407</f>
        <v>5481.4440699999996</v>
      </c>
      <c r="H130" s="23">
        <f>E130-G130</f>
        <v>8500.5559300000004</v>
      </c>
      <c r="I130" s="23">
        <f>6480.88916</f>
        <v>6480.8891599999997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52226</v>
      </c>
      <c r="E132" s="93">
        <v>49285</v>
      </c>
      <c r="F132" s="97">
        <f>618.92715</f>
        <v>618.92714999999998</v>
      </c>
      <c r="G132" s="97">
        <f>37849.98218+6400.298345</f>
        <v>44250.280525000002</v>
      </c>
      <c r="H132" s="97">
        <f>E132-G132</f>
        <v>5034.7194749999981</v>
      </c>
      <c r="I132" s="97">
        <f>39051.38148</f>
        <v>39051.381479999996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80892</v>
      </c>
      <c r="E133" s="145">
        <f>E134+E139+E142</f>
        <v>81112</v>
      </c>
      <c r="F133" s="96">
        <f>F134+F139+F142</f>
        <v>825.37661000000003</v>
      </c>
      <c r="G133" s="96">
        <f>G134+G139+G142</f>
        <v>56388.540594999999</v>
      </c>
      <c r="H133" s="96">
        <f>H134+H139+H142</f>
        <v>24723.459405000001</v>
      </c>
      <c r="I133" s="96">
        <f>I134+I139+I142</f>
        <v>56985.479510000005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61046</v>
      </c>
      <c r="E134" s="125">
        <f>E135+E136+E137+E138</f>
        <v>59633</v>
      </c>
      <c r="F134" s="127">
        <f>F135+F136+F137+F138</f>
        <v>669.80766000000006</v>
      </c>
      <c r="G134" s="127">
        <f>G135+G136+G138+G137</f>
        <v>43444.337694999995</v>
      </c>
      <c r="H134" s="127">
        <f>H135+H136+H137+H138</f>
        <v>16188.662305</v>
      </c>
      <c r="I134" s="127">
        <f>I135+I136+I137+I138</f>
        <v>44892.935570000001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16203</v>
      </c>
      <c r="E135" s="65">
        <v>17538</v>
      </c>
      <c r="F135" s="129">
        <f>184.52619</f>
        <v>184.52619000000001</v>
      </c>
      <c r="G135" s="129">
        <v>7689.8766500000002</v>
      </c>
      <c r="H135" s="129">
        <f>E135-G135</f>
        <v>9848.1233499999998</v>
      </c>
      <c r="I135" s="129">
        <f>7177.97584</f>
        <v>7177.9758400000001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16593</v>
      </c>
      <c r="E136" s="65">
        <v>15118</v>
      </c>
      <c r="F136" s="129">
        <f>275.02424</f>
        <v>275.02424000000002</v>
      </c>
      <c r="G136" s="129">
        <v>12817.165895</v>
      </c>
      <c r="H136" s="129">
        <f>E136-G136</f>
        <v>2300.8341049999999</v>
      </c>
      <c r="I136" s="129">
        <f>10352.7645</f>
        <v>10352.764499999999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15164</v>
      </c>
      <c r="E137" s="65">
        <v>15056</v>
      </c>
      <c r="F137" s="129">
        <f>132.66228</f>
        <v>132.66228000000001</v>
      </c>
      <c r="G137" s="129">
        <v>12798.59</v>
      </c>
      <c r="H137" s="129">
        <f>E137-G137</f>
        <v>2257.41</v>
      </c>
      <c r="I137" s="129">
        <f>14497.38121</f>
        <v>14497.38121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13085</v>
      </c>
      <c r="E138" s="65">
        <v>11921</v>
      </c>
      <c r="F138" s="129">
        <f>77.59495</f>
        <v>77.594949999999997</v>
      </c>
      <c r="G138" s="129">
        <v>10138.70515</v>
      </c>
      <c r="H138" s="129">
        <f>E138-G138</f>
        <v>1782.2948500000002</v>
      </c>
      <c r="I138" s="129">
        <f>12864.81402</f>
        <v>12864.81402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8732</v>
      </c>
      <c r="E139" s="60">
        <f>E141+E140</f>
        <v>9451</v>
      </c>
      <c r="F139" s="134">
        <f>SUM(F140:F141)</f>
        <v>2.0005500000000001</v>
      </c>
      <c r="G139" s="134">
        <f>SUM(G140:G141)</f>
        <v>6940.02646</v>
      </c>
      <c r="H139" s="134">
        <f>H140+H141</f>
        <v>2510.97354</v>
      </c>
      <c r="I139" s="134">
        <f>SUM(I140:I141)</f>
        <v>6211.9540099999995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8232</v>
      </c>
      <c r="E140" s="65">
        <v>8951</v>
      </c>
      <c r="F140" s="129">
        <f>0</f>
        <v>0</v>
      </c>
      <c r="G140" s="129">
        <f>6705.48665</f>
        <v>6705.4866499999998</v>
      </c>
      <c r="H140" s="129">
        <f t="shared" ref="H140:H147" si="12">E140-G140</f>
        <v>2245.5133500000002</v>
      </c>
      <c r="I140" s="129">
        <f>5972.57173</f>
        <v>5972.5717299999997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2.00055</f>
        <v>2.0005500000000001</v>
      </c>
      <c r="G141" s="129">
        <f>234.53981</f>
        <v>234.53980999999999</v>
      </c>
      <c r="H141" s="129">
        <f t="shared" si="12"/>
        <v>265.46019000000001</v>
      </c>
      <c r="I141" s="129">
        <f>239.38228</f>
        <v>239.38228000000001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11114</v>
      </c>
      <c r="E142" s="63">
        <v>12028</v>
      </c>
      <c r="F142" s="77">
        <f>153.5684</f>
        <v>153.5684</v>
      </c>
      <c r="G142" s="77">
        <f>6004.17644</f>
        <v>6004.1764400000002</v>
      </c>
      <c r="H142" s="77">
        <f t="shared" si="12"/>
        <v>6023.8235599999998</v>
      </c>
      <c r="I142" s="77">
        <f>5880.58993</f>
        <v>5880.5899300000001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0.44145</f>
        <v>0.44145000000000001</v>
      </c>
      <c r="G143" s="141">
        <f>30.80245</f>
        <v>30.80245</v>
      </c>
      <c r="H143" s="141">
        <f t="shared" si="12"/>
        <v>106.19755000000001</v>
      </c>
      <c r="I143" s="141">
        <f>21.76787</f>
        <v>21.767869999999998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2"/>
        <v>-12.581000000000017</v>
      </c>
      <c r="I144" s="100">
        <f>306.976</f>
        <v>306.976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4.74029</f>
        <v>4.7402899999999999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3">D128+D132+D133+D143+D144+D145+D146+D147+D148</f>
        <v>212994</v>
      </c>
      <c r="E150" s="78">
        <f t="shared" si="13"/>
        <v>203686</v>
      </c>
      <c r="F150" s="78">
        <f>F128+F132+F133+F143+F144+F145+F146+F147+F148</f>
        <v>2763.0071500000004</v>
      </c>
      <c r="G150" s="78">
        <f>G128+G132+G133+G143+G144+G145+G146+G147+G148</f>
        <v>149463.12537999998</v>
      </c>
      <c r="H150" s="78">
        <f>H128+H132+H133+H143+H144+H145+H146+H147+H148</f>
        <v>54222.874620000002</v>
      </c>
      <c r="I150" s="78">
        <f>I128+I132+I133+I143+I144+I145+I146+I147+I148</f>
        <v>142533.23619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129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149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148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130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119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119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119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142</v>
      </c>
      <c r="F174" s="15" t="s">
        <v>143</v>
      </c>
      <c r="G174" s="56" t="s">
        <v>144</v>
      </c>
      <c r="H174" s="15" t="s">
        <v>145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8.15556</f>
        <v>8.1555599999999995</v>
      </c>
      <c r="F175" s="274">
        <f>1402.70935</f>
        <v>1402.7093500000001</v>
      </c>
      <c r="G175" s="45">
        <f>D175-F175-F176</f>
        <v>1907.9185599999998</v>
      </c>
      <c r="H175" s="274">
        <f>1129.09218</f>
        <v>1129.0921800000001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0</f>
        <v>0</v>
      </c>
      <c r="F176" s="154">
        <f>1677.37209</f>
        <v>1677.3720900000001</v>
      </c>
      <c r="G176" s="215"/>
      <c r="H176" s="154">
        <f>1418.93599</f>
        <v>1418.9359899999999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2.9419</f>
        <v>2.9419</v>
      </c>
      <c r="F177" s="174">
        <f>74.61014</f>
        <v>74.610140000000001</v>
      </c>
      <c r="G177" s="174">
        <f>D177-F177</f>
        <v>125.38986</v>
      </c>
      <c r="H177" s="174">
        <f>50.2098</f>
        <v>50.209800000000001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23.083270000000002</v>
      </c>
      <c r="F178" s="183">
        <f>F179+F180+F181</f>
        <v>7939.5862499999994</v>
      </c>
      <c r="G178" s="183">
        <f>D178-F178</f>
        <v>-458.58624999999938</v>
      </c>
      <c r="H178" s="183">
        <f>H179+H180+H181</f>
        <v>7608.2509199999995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3.04243</f>
        <v>3.04243</v>
      </c>
      <c r="F179" s="129">
        <f>4149.59225</f>
        <v>4149.5922499999997</v>
      </c>
      <c r="G179" s="129"/>
      <c r="H179" s="129">
        <f>3958.90934</f>
        <v>3958.9093400000002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18.09475</f>
        <v>18.094750000000001</v>
      </c>
      <c r="F180" s="129">
        <f>2404.92823</f>
        <v>2404.92823</v>
      </c>
      <c r="G180" s="129"/>
      <c r="H180" s="129">
        <f>2353.13582</f>
        <v>2353.13582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1.94609</f>
        <v>1.9460900000000001</v>
      </c>
      <c r="F181" s="194">
        <f>1385.06577</f>
        <v>1385.0657699999999</v>
      </c>
      <c r="G181" s="194"/>
      <c r="H181" s="194">
        <f>1296.20576</f>
        <v>1296.2057600000001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34.180730000000004</v>
      </c>
      <c r="F184" s="196">
        <f>F175+F176+F177+F178+F182+F183</f>
        <v>11094.277829999999</v>
      </c>
      <c r="G184" s="196">
        <f>D184-F184</f>
        <v>1640.7221700000009</v>
      </c>
      <c r="H184" s="196">
        <f>H175+H176+H177+H178+H182+H183</f>
        <v>10206.488890000001</v>
      </c>
      <c r="I184" s="165"/>
      <c r="J184" s="162"/>
    </row>
    <row r="185" spans="1:10" ht="42" customHeight="1" x14ac:dyDescent="0.25">
      <c r="A185" s="1"/>
      <c r="B185" s="200"/>
      <c r="C185" s="225" t="s">
        <v>131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119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119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119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132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133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134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142</v>
      </c>
      <c r="F203" s="68" t="s">
        <v>143</v>
      </c>
      <c r="G203" s="68" t="s">
        <v>144</v>
      </c>
      <c r="H203" s="68" t="s">
        <v>145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148.11408</f>
        <v>148.11408</v>
      </c>
      <c r="F204" s="124">
        <f>39854.75491</f>
        <v>39854.754910000003</v>
      </c>
      <c r="G204" s="124">
        <f>D204-F204</f>
        <v>3984.2450899999967</v>
      </c>
      <c r="H204" s="124">
        <f>34547.14155</f>
        <v>34547.14155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0.073</f>
        <v>7.2999999999999995E-2</v>
      </c>
      <c r="F205" s="124">
        <f>57.20455</f>
        <v>57.204549999999998</v>
      </c>
      <c r="G205" s="124">
        <f>D205-F205</f>
        <v>42.795450000000002</v>
      </c>
      <c r="H205" s="124">
        <f>49.79481</f>
        <v>49.794809999999998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148.18708000000001</v>
      </c>
      <c r="F207" s="190">
        <f>SUM(F204:F206)</f>
        <v>39911.959460000005</v>
      </c>
      <c r="G207" s="190">
        <f>D207-F207</f>
        <v>4069.0405399999945</v>
      </c>
      <c r="H207" s="190">
        <f>SUM(H204:H206)</f>
        <v>34596.93636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119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35">
      <c r="A243" s="152"/>
      <c r="B243" s="1"/>
      <c r="C243" s="213" t="s">
        <v>137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35">
      <c r="A244" s="152" t="s">
        <v>119</v>
      </c>
      <c r="B244" s="1"/>
      <c r="C244" s="213"/>
      <c r="D244" s="172"/>
      <c r="E244" s="172"/>
      <c r="F244" s="172"/>
      <c r="G244" s="172"/>
      <c r="H244" s="1"/>
      <c r="I244" s="1"/>
      <c r="J244" s="1"/>
    </row>
    <row r="245" spans="1:10" ht="12" customHeight="1" x14ac:dyDescent="0.25">
      <c r="A245" s="152"/>
      <c r="B245" s="140"/>
      <c r="C245" s="224"/>
      <c r="D245" s="235"/>
      <c r="E245" s="235"/>
      <c r="F245" s="235"/>
      <c r="G245" s="235"/>
      <c r="H245" s="156"/>
      <c r="I245" s="156"/>
      <c r="J245" s="164"/>
    </row>
    <row r="246" spans="1:10" ht="23.25" customHeight="1" x14ac:dyDescent="0.25">
      <c r="A246" s="1"/>
      <c r="B246" s="252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25">
      <c r="A247" s="1"/>
      <c r="B247" s="252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25">
      <c r="A248" s="1"/>
      <c r="B248" s="252"/>
      <c r="C248" s="68" t="s">
        <v>16</v>
      </c>
      <c r="D248" s="79" t="s">
        <v>2</v>
      </c>
      <c r="E248" s="68" t="s">
        <v>142</v>
      </c>
      <c r="F248" s="68" t="s">
        <v>143</v>
      </c>
      <c r="G248" s="68" t="s">
        <v>144</v>
      </c>
      <c r="H248" s="68" t="s">
        <v>145</v>
      </c>
      <c r="I248" s="1"/>
      <c r="J248" s="122"/>
    </row>
    <row r="249" spans="1:10" ht="15" customHeight="1" x14ac:dyDescent="0.25">
      <c r="A249" s="1"/>
      <c r="B249" s="252"/>
      <c r="C249" s="90" t="s">
        <v>8</v>
      </c>
      <c r="D249" s="124"/>
      <c r="E249" s="77">
        <f>39.9998</f>
        <v>39.9998</v>
      </c>
      <c r="F249" s="77">
        <f>3473.8159</f>
        <v>3473.8159000000001</v>
      </c>
      <c r="G249" s="77"/>
      <c r="H249" s="77">
        <f>2283.90235</f>
        <v>2283.9023499999998</v>
      </c>
      <c r="I249" s="246"/>
      <c r="J249" s="122"/>
    </row>
    <row r="250" spans="1:10" ht="15" customHeight="1" x14ac:dyDescent="0.25">
      <c r="A250" s="1"/>
      <c r="B250" s="252"/>
      <c r="C250" s="90" t="s">
        <v>11</v>
      </c>
      <c r="D250" s="124"/>
      <c r="E250" s="77">
        <f>30.80732</f>
        <v>30.807320000000001</v>
      </c>
      <c r="F250" s="77">
        <f>4892.74589</f>
        <v>4892.7458900000001</v>
      </c>
      <c r="G250" s="77"/>
      <c r="H250" s="77">
        <f>4385.00993</f>
        <v>4385.0099300000002</v>
      </c>
      <c r="I250" s="246"/>
      <c r="J250" s="122"/>
    </row>
    <row r="251" spans="1:10" ht="15.75" customHeight="1" x14ac:dyDescent="0.25">
      <c r="A251" s="1"/>
      <c r="B251" s="252"/>
      <c r="C251" s="146" t="s">
        <v>68</v>
      </c>
      <c r="D251" s="168"/>
      <c r="E251" s="124">
        <f>7.04472</f>
        <v>7.0447199999999999</v>
      </c>
      <c r="F251" s="124">
        <f>526.80723</f>
        <v>526.80723</v>
      </c>
      <c r="G251" s="168"/>
      <c r="H251" s="124">
        <f>490.64218</f>
        <v>490.64218</v>
      </c>
      <c r="I251" s="246"/>
      <c r="J251" s="122"/>
    </row>
    <row r="252" spans="1:10" ht="16.5" customHeight="1" x14ac:dyDescent="0.25">
      <c r="A252" s="1"/>
      <c r="B252" s="252"/>
      <c r="C252" s="179" t="s">
        <v>88</v>
      </c>
      <c r="D252" s="190">
        <v>10454</v>
      </c>
      <c r="E252" s="190">
        <f>SUM(E249:E251)</f>
        <v>77.851839999999996</v>
      </c>
      <c r="F252" s="190">
        <f>SUM(F249:F251)</f>
        <v>8893.3690200000001</v>
      </c>
      <c r="G252" s="190">
        <f>D252-F252</f>
        <v>1560.6309799999999</v>
      </c>
      <c r="H252" s="190">
        <f>SUM(H249:H251)</f>
        <v>7159.5544600000003</v>
      </c>
      <c r="I252" s="246"/>
      <c r="J252" s="122"/>
    </row>
    <row r="253" spans="1:10" ht="17.100000000000001" customHeight="1" x14ac:dyDescent="0.25">
      <c r="A253" s="1"/>
      <c r="B253" s="166"/>
      <c r="C253" s="201"/>
      <c r="D253" s="109"/>
      <c r="E253" s="109"/>
      <c r="F253" s="212"/>
      <c r="G253" s="212"/>
      <c r="H253" s="212"/>
      <c r="I253" s="212"/>
      <c r="J253" s="214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119</v>
      </c>
      <c r="B287" s="1"/>
      <c r="C287" s="1"/>
      <c r="D287" s="1"/>
      <c r="E287" s="1"/>
      <c r="F287" s="1"/>
      <c r="G287" s="1"/>
      <c r="H287" s="1"/>
      <c r="I287" s="1"/>
      <c r="J287" s="216"/>
    </row>
    <row r="288" spans="1:10" ht="21.75" customHeight="1" x14ac:dyDescent="0.35">
      <c r="A288" s="152"/>
      <c r="B288" s="1"/>
      <c r="C288" s="213" t="s">
        <v>138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35">
      <c r="A289" s="152" t="s">
        <v>119</v>
      </c>
      <c r="B289" s="1"/>
      <c r="C289" s="213"/>
      <c r="D289" s="172"/>
      <c r="E289" s="172"/>
      <c r="F289" s="172"/>
      <c r="G289" s="172"/>
      <c r="H289" s="1"/>
      <c r="I289" s="1"/>
      <c r="J289" s="1"/>
    </row>
    <row r="290" spans="1:10" ht="12" customHeight="1" x14ac:dyDescent="0.25">
      <c r="A290" s="152"/>
      <c r="B290" s="140"/>
      <c r="C290" s="224"/>
      <c r="D290" s="235"/>
      <c r="E290" s="235"/>
      <c r="F290" s="235"/>
      <c r="G290" s="235"/>
      <c r="H290" s="156"/>
      <c r="I290" s="156"/>
      <c r="J290" s="164"/>
    </row>
    <row r="291" spans="1:10" ht="23.25" customHeight="1" x14ac:dyDescent="0.25">
      <c r="A291" s="1"/>
      <c r="B291" s="252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25">
      <c r="A292" s="1"/>
      <c r="B292" s="252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25">
      <c r="A293" s="1"/>
      <c r="B293" s="252"/>
      <c r="C293" s="68" t="s">
        <v>16</v>
      </c>
      <c r="D293" s="79" t="s">
        <v>2</v>
      </c>
      <c r="E293" s="68" t="s">
        <v>142</v>
      </c>
      <c r="F293" s="68" t="s">
        <v>143</v>
      </c>
      <c r="G293" s="68" t="s">
        <v>144</v>
      </c>
      <c r="H293" s="68" t="s">
        <v>145</v>
      </c>
      <c r="I293" s="1"/>
      <c r="J293" s="122"/>
    </row>
    <row r="294" spans="1:10" ht="15" customHeight="1" x14ac:dyDescent="0.25">
      <c r="A294" s="1"/>
      <c r="B294" s="252"/>
      <c r="C294" s="90" t="s">
        <v>8</v>
      </c>
      <c r="D294" s="124"/>
      <c r="E294" s="77">
        <f>148.1962</f>
        <v>148.1962</v>
      </c>
      <c r="F294" s="77">
        <f>5298.92041</f>
        <v>5298.9204099999997</v>
      </c>
      <c r="G294" s="77"/>
      <c r="H294" s="77">
        <f>3011.21977</f>
        <v>3011.2197700000002</v>
      </c>
      <c r="I294" s="246"/>
      <c r="J294" s="122"/>
    </row>
    <row r="295" spans="1:10" ht="15" customHeight="1" x14ac:dyDescent="0.25">
      <c r="A295" s="1"/>
      <c r="B295" s="252"/>
      <c r="C295" s="90" t="s">
        <v>11</v>
      </c>
      <c r="D295" s="124"/>
      <c r="E295" s="77">
        <f>75.3907</f>
        <v>75.390699999999995</v>
      </c>
      <c r="F295" s="77">
        <f>2998.91126</f>
        <v>2998.9112599999999</v>
      </c>
      <c r="G295" s="77"/>
      <c r="H295" s="77">
        <f>2519.77026</f>
        <v>2519.7702599999998</v>
      </c>
      <c r="I295" s="246"/>
      <c r="J295" s="122"/>
    </row>
    <row r="296" spans="1:10" ht="15.75" customHeight="1" x14ac:dyDescent="0.25">
      <c r="A296" s="1"/>
      <c r="B296" s="252"/>
      <c r="C296" s="146" t="s">
        <v>68</v>
      </c>
      <c r="D296" s="168"/>
      <c r="E296" s="124">
        <f>0.47431</f>
        <v>0.47431000000000001</v>
      </c>
      <c r="F296" s="124">
        <f>419.20833</f>
        <v>419.20832999999999</v>
      </c>
      <c r="G296" s="168"/>
      <c r="H296" s="124">
        <f>452.52586</f>
        <v>452.52586000000002</v>
      </c>
      <c r="I296" s="246"/>
      <c r="J296" s="122"/>
    </row>
    <row r="297" spans="1:10" ht="16.5" customHeight="1" x14ac:dyDescent="0.25">
      <c r="A297" s="1"/>
      <c r="B297" s="252"/>
      <c r="C297" s="179" t="s">
        <v>88</v>
      </c>
      <c r="D297" s="190">
        <v>8076</v>
      </c>
      <c r="E297" s="190">
        <f>SUM(E294:E296)</f>
        <v>224.06121000000002</v>
      </c>
      <c r="F297" s="190">
        <f>SUM(F294:F296)</f>
        <v>8717.0399999999991</v>
      </c>
      <c r="G297" s="190">
        <f>D297-F297</f>
        <v>-641.03999999999905</v>
      </c>
      <c r="H297" s="190">
        <f>SUM(H294:H296)</f>
        <v>5983.5158899999997</v>
      </c>
      <c r="I297" s="246"/>
      <c r="J297" s="122"/>
    </row>
    <row r="298" spans="1:10" ht="17.100000000000001" customHeight="1" x14ac:dyDescent="0.25">
      <c r="A298" s="1"/>
      <c r="B298" s="166"/>
      <c r="C298" s="201"/>
      <c r="D298" s="109"/>
      <c r="E298" s="109"/>
      <c r="F298" s="212"/>
      <c r="G298" s="212"/>
      <c r="H298" s="212"/>
      <c r="I298" s="212"/>
      <c r="J298" s="214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7.100000000000001" customHeight="1" x14ac:dyDescent="0.25">
      <c r="A332" s="1" t="s">
        <v>119</v>
      </c>
      <c r="B332" s="1"/>
      <c r="C332" s="1"/>
      <c r="D332" s="1"/>
      <c r="E332" s="1"/>
      <c r="F332" s="1"/>
      <c r="G332" s="1"/>
      <c r="H332" s="1"/>
      <c r="I332" s="1"/>
      <c r="J332" s="216"/>
    </row>
    <row r="333" spans="1:10" ht="30" customHeight="1" x14ac:dyDescent="0.25">
      <c r="A333" s="216"/>
      <c r="B333" s="216"/>
      <c r="C333" s="217" t="s">
        <v>90</v>
      </c>
      <c r="D333" s="216"/>
      <c r="E333" s="216"/>
      <c r="F333" s="216"/>
      <c r="G333" s="216"/>
      <c r="H333" s="216"/>
      <c r="I333" s="216"/>
      <c r="J333" s="222"/>
    </row>
    <row r="334" spans="1:10" ht="30" customHeight="1" x14ac:dyDescent="0.25">
      <c r="A334" s="216" t="s">
        <v>119</v>
      </c>
      <c r="B334" s="216"/>
      <c r="C334" s="217"/>
      <c r="D334" s="216"/>
      <c r="E334" s="216"/>
      <c r="F334" s="216"/>
      <c r="G334" s="216"/>
      <c r="H334" s="216"/>
      <c r="I334" s="216"/>
      <c r="J334" s="222"/>
    </row>
    <row r="335" spans="1:10" ht="14.1" customHeight="1" x14ac:dyDescent="0.2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" customHeight="1" x14ac:dyDescent="0.2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" customHeight="1" x14ac:dyDescent="0.25">
      <c r="A337" s="1"/>
      <c r="B337" s="252"/>
      <c r="C337" s="257" t="s">
        <v>85</v>
      </c>
      <c r="D337" s="268">
        <v>3299</v>
      </c>
      <c r="E337" s="152"/>
      <c r="F337" s="223"/>
      <c r="G337" s="1"/>
      <c r="H337" s="1"/>
      <c r="I337" s="1"/>
      <c r="J337" s="122"/>
    </row>
    <row r="338" spans="1:10" ht="14.1" customHeight="1" x14ac:dyDescent="0.25">
      <c r="A338" s="1"/>
      <c r="B338" s="252"/>
      <c r="C338" s="246" t="s">
        <v>91</v>
      </c>
      <c r="D338" s="46">
        <v>9882</v>
      </c>
      <c r="E338" s="152"/>
      <c r="F338" s="223"/>
      <c r="G338" s="1"/>
      <c r="H338" s="1"/>
      <c r="I338" s="1"/>
      <c r="J338" s="122"/>
    </row>
    <row r="339" spans="1:10" ht="14.1" customHeight="1" x14ac:dyDescent="0.25">
      <c r="A339" s="1"/>
      <c r="B339" s="252"/>
      <c r="C339" s="246" t="s">
        <v>92</v>
      </c>
      <c r="D339" s="46">
        <v>8089</v>
      </c>
      <c r="E339" s="152"/>
      <c r="F339" s="223"/>
      <c r="G339" s="1"/>
      <c r="H339" s="1"/>
      <c r="I339" s="1"/>
      <c r="J339" s="122"/>
    </row>
    <row r="340" spans="1:10" ht="13.5" customHeight="1" x14ac:dyDescent="0.25">
      <c r="A340" s="1"/>
      <c r="B340" s="252"/>
      <c r="C340" s="246" t="s">
        <v>75</v>
      </c>
      <c r="D340" s="46">
        <v>382</v>
      </c>
      <c r="E340" s="152"/>
      <c r="F340" s="223"/>
      <c r="G340" s="1"/>
      <c r="H340" s="1"/>
      <c r="I340" s="1"/>
      <c r="J340" s="122"/>
    </row>
    <row r="341" spans="1:10" ht="14.25" customHeight="1" x14ac:dyDescent="0.25">
      <c r="A341" s="1"/>
      <c r="B341" s="252"/>
      <c r="C341" s="57" t="s">
        <v>50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" customHeight="1" x14ac:dyDescent="0.25">
      <c r="A342" s="1"/>
      <c r="B342" s="252"/>
      <c r="C342" s="226" t="s">
        <v>93</v>
      </c>
      <c r="D342" s="227"/>
      <c r="E342" s="181"/>
      <c r="F342" s="181"/>
      <c r="G342" s="1"/>
      <c r="H342" s="1"/>
      <c r="I342" s="1"/>
      <c r="J342" s="122"/>
    </row>
    <row r="343" spans="1:10" ht="15" customHeight="1" x14ac:dyDescent="0.25">
      <c r="A343" s="1"/>
      <c r="B343" s="252"/>
      <c r="C343" s="101" t="s">
        <v>94</v>
      </c>
      <c r="D343" s="228"/>
      <c r="E343" s="1"/>
      <c r="F343" s="1"/>
      <c r="G343" s="1"/>
      <c r="H343" s="1"/>
      <c r="I343" s="1"/>
      <c r="J343" s="122"/>
    </row>
    <row r="344" spans="1:10" ht="14.25" customHeight="1" x14ac:dyDescent="0.25">
      <c r="A344" s="1"/>
      <c r="B344" s="252"/>
      <c r="C344" s="101" t="s">
        <v>95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25">
      <c r="A345" s="1"/>
      <c r="B345" s="229"/>
      <c r="C345" s="232" t="s">
        <v>15</v>
      </c>
      <c r="D345" s="232"/>
      <c r="E345" s="232"/>
      <c r="F345" s="232"/>
      <c r="G345" s="232"/>
      <c r="H345" s="232"/>
      <c r="I345" s="232"/>
      <c r="J345" s="236"/>
    </row>
    <row r="346" spans="1:10" ht="14.1" customHeight="1" x14ac:dyDescent="0.25">
      <c r="A346" s="1"/>
      <c r="B346" s="238"/>
      <c r="C346" s="240"/>
      <c r="D346" s="240"/>
      <c r="E346" s="240"/>
      <c r="F346" s="240"/>
      <c r="G346" s="240"/>
      <c r="H346" s="240"/>
      <c r="I346" s="240"/>
      <c r="J346" s="122"/>
    </row>
    <row r="347" spans="1:10" ht="54" customHeight="1" x14ac:dyDescent="0.25">
      <c r="A347" s="1"/>
      <c r="B347" s="252"/>
      <c r="C347" s="68" t="s">
        <v>16</v>
      </c>
      <c r="D347" s="241" t="s">
        <v>2</v>
      </c>
      <c r="E347" s="68" t="s">
        <v>142</v>
      </c>
      <c r="F347" s="68" t="s">
        <v>143</v>
      </c>
      <c r="G347" s="68" t="s">
        <v>144</v>
      </c>
      <c r="H347" s="68" t="s">
        <v>145</v>
      </c>
      <c r="I347" s="1"/>
      <c r="J347" s="118"/>
    </row>
    <row r="348" spans="1:10" ht="14.1" customHeight="1" x14ac:dyDescent="0.25">
      <c r="A348" s="70"/>
      <c r="B348" s="81"/>
      <c r="C348" s="90" t="s">
        <v>96</v>
      </c>
      <c r="D348" s="124">
        <v>800</v>
      </c>
      <c r="E348" s="124">
        <f>14.74564</f>
        <v>14.74564</v>
      </c>
      <c r="F348" s="124">
        <f>473.61087</f>
        <v>473.61086999999998</v>
      </c>
      <c r="G348" s="124">
        <f>D348-F348</f>
        <v>326.38913000000002</v>
      </c>
      <c r="H348" s="124">
        <f>268.45759</f>
        <v>268.45758999999998</v>
      </c>
      <c r="I348" s="70"/>
      <c r="J348" s="242"/>
    </row>
    <row r="349" spans="1:10" ht="14.1" customHeight="1" x14ac:dyDescent="0.25">
      <c r="A349" s="1"/>
      <c r="B349" s="252"/>
      <c r="C349" s="90" t="s">
        <v>97</v>
      </c>
      <c r="D349" s="244">
        <v>2494</v>
      </c>
      <c r="E349" s="124">
        <f>20.45975</f>
        <v>20.45975</v>
      </c>
      <c r="F349" s="124">
        <f>2381.11564</f>
        <v>2381.11564</v>
      </c>
      <c r="G349" s="124">
        <f>D349-F349</f>
        <v>112.88436000000002</v>
      </c>
      <c r="H349" s="124">
        <f>1422.72964</f>
        <v>1422.72964</v>
      </c>
      <c r="I349" s="181"/>
      <c r="J349" s="118"/>
    </row>
    <row r="350" spans="1:10" ht="16.5" customHeight="1" x14ac:dyDescent="0.25">
      <c r="A350" s="70"/>
      <c r="B350" s="81"/>
      <c r="C350" s="146" t="s">
        <v>82</v>
      </c>
      <c r="D350" s="244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0.9582</f>
        <v>0.95820000000000005</v>
      </c>
      <c r="I350" s="70"/>
      <c r="J350" s="247"/>
    </row>
    <row r="351" spans="1:10" ht="18.75" customHeight="1" x14ac:dyDescent="0.25">
      <c r="A351" s="70"/>
      <c r="B351" s="248"/>
      <c r="C351" s="146" t="s">
        <v>98</v>
      </c>
      <c r="D351" s="220"/>
      <c r="E351" s="168">
        <f>0</f>
        <v>0</v>
      </c>
      <c r="F351" s="168">
        <f>1.7076</f>
        <v>1.7076</v>
      </c>
      <c r="G351" s="124"/>
      <c r="H351" s="168">
        <f>6.75208</f>
        <v>6.7520800000000003</v>
      </c>
      <c r="I351" s="282"/>
      <c r="J351" s="122"/>
    </row>
    <row r="352" spans="1:10" ht="14.1" customHeight="1" x14ac:dyDescent="0.25">
      <c r="A352" s="1"/>
      <c r="B352" s="252"/>
      <c r="C352" s="179" t="s">
        <v>88</v>
      </c>
      <c r="D352" s="6">
        <f>D337</f>
        <v>3299</v>
      </c>
      <c r="E352" s="190">
        <f>SUM(E348:E351)</f>
        <v>35.205390000000001</v>
      </c>
      <c r="F352" s="190">
        <f>SUM(F348:F351)</f>
        <v>2859.1728499999999</v>
      </c>
      <c r="G352" s="190">
        <f>D352-F352</f>
        <v>439.82715000000007</v>
      </c>
      <c r="H352" s="190">
        <f>H348+H349+H350+H351</f>
        <v>1698.89751</v>
      </c>
      <c r="I352" s="1"/>
      <c r="J352" s="122"/>
    </row>
    <row r="353" spans="1:10" ht="14.1" customHeight="1" x14ac:dyDescent="0.25">
      <c r="A353" s="1"/>
      <c r="B353" s="252"/>
      <c r="C353" s="21"/>
      <c r="D353" s="34"/>
      <c r="E353" s="34"/>
      <c r="F353" s="34"/>
      <c r="G353" s="34"/>
      <c r="H353" s="34"/>
      <c r="I353" s="1"/>
      <c r="J353" s="122"/>
    </row>
    <row r="354" spans="1:10" ht="14.1" customHeight="1" x14ac:dyDescent="0.2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" customHeight="1" x14ac:dyDescent="0.25">
      <c r="A355" s="1"/>
      <c r="C355" s="152" t="s">
        <v>119</v>
      </c>
    </row>
    <row r="356" spans="1:10" ht="14.1" customHeight="1" x14ac:dyDescent="0.25">
      <c r="A356" s="1" t="s">
        <v>119</v>
      </c>
    </row>
    <row r="357" spans="1:10" ht="14.1" customHeight="1" x14ac:dyDescent="0.25">
      <c r="A357" s="1" t="s">
        <v>119</v>
      </c>
    </row>
    <row r="358" spans="1:10" ht="14.1" customHeight="1" x14ac:dyDescent="0.25">
      <c r="A358" s="1"/>
      <c r="C358" s="152" t="s">
        <v>119</v>
      </c>
    </row>
    <row r="359" spans="1:10" ht="36" customHeight="1" x14ac:dyDescent="0.25">
      <c r="A359" s="1"/>
      <c r="C359" s="152" t="s">
        <v>119</v>
      </c>
    </row>
    <row r="360" spans="1:10" ht="14.1" customHeight="1" x14ac:dyDescent="0.25">
      <c r="A360" s="1"/>
      <c r="C360" s="152" t="s">
        <v>119</v>
      </c>
    </row>
    <row r="361" spans="1:10" ht="14.1" customHeight="1" x14ac:dyDescent="0.25">
      <c r="A361" s="1"/>
      <c r="C361" s="152" t="s">
        <v>119</v>
      </c>
    </row>
    <row r="362" spans="1:10" ht="30" customHeight="1" x14ac:dyDescent="0.35">
      <c r="A362" s="216"/>
      <c r="B362" s="1"/>
      <c r="C362" s="213" t="s">
        <v>99</v>
      </c>
      <c r="D362" s="159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6"/>
      <c r="C363" s="237"/>
      <c r="D363" s="237"/>
      <c r="E363" s="237"/>
      <c r="F363" s="237"/>
      <c r="G363" s="237"/>
      <c r="H363" s="237"/>
      <c r="I363" s="237"/>
      <c r="J363" s="62"/>
    </row>
    <row r="364" spans="1:10" ht="6" customHeight="1" x14ac:dyDescent="0.2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25">
      <c r="B365" s="74"/>
      <c r="C365" s="151" t="s">
        <v>1</v>
      </c>
      <c r="D365" s="187"/>
      <c r="E365" s="151" t="s">
        <v>100</v>
      </c>
      <c r="F365" s="187"/>
      <c r="G365" s="151" t="s">
        <v>101</v>
      </c>
      <c r="H365" s="187"/>
      <c r="I365" s="152"/>
      <c r="J365" s="132"/>
    </row>
    <row r="366" spans="1:10" ht="14.25" customHeight="1" x14ac:dyDescent="0.25">
      <c r="B366" s="74"/>
      <c r="C366" s="257" t="s">
        <v>85</v>
      </c>
      <c r="D366" s="268">
        <v>27365</v>
      </c>
      <c r="E366" s="250" t="s">
        <v>4</v>
      </c>
      <c r="F366" s="105">
        <v>13865</v>
      </c>
      <c r="G366" s="246" t="s">
        <v>20</v>
      </c>
      <c r="H366" s="46">
        <v>6472</v>
      </c>
      <c r="I366" s="152"/>
      <c r="J366" s="132"/>
    </row>
    <row r="367" spans="1:10" ht="14.25" customHeight="1" x14ac:dyDescent="0.25">
      <c r="B367" s="74"/>
      <c r="C367" s="246" t="s">
        <v>92</v>
      </c>
      <c r="D367" s="46">
        <v>19433</v>
      </c>
      <c r="E367" s="181" t="s">
        <v>97</v>
      </c>
      <c r="F367" s="49">
        <v>8000</v>
      </c>
      <c r="G367" s="246" t="s">
        <v>21</v>
      </c>
      <c r="H367" s="46">
        <v>1684</v>
      </c>
      <c r="I367" s="152"/>
      <c r="J367" s="132"/>
    </row>
    <row r="368" spans="1:10" ht="14.25" customHeight="1" x14ac:dyDescent="0.25">
      <c r="B368" s="74"/>
      <c r="C368" s="246" t="s">
        <v>91</v>
      </c>
      <c r="D368" s="46">
        <v>6186</v>
      </c>
      <c r="E368" s="181" t="s">
        <v>60</v>
      </c>
      <c r="F368" s="49">
        <v>5500</v>
      </c>
      <c r="G368" s="246" t="s">
        <v>102</v>
      </c>
      <c r="H368" s="46">
        <v>4296</v>
      </c>
      <c r="I368" s="152"/>
      <c r="J368" s="132"/>
    </row>
    <row r="369" spans="1:10" ht="14.1" customHeight="1" x14ac:dyDescent="0.25">
      <c r="B369" s="74"/>
      <c r="C369" s="246"/>
      <c r="D369" s="46"/>
      <c r="E369" s="133"/>
      <c r="F369" s="147"/>
      <c r="G369" s="246" t="s">
        <v>103</v>
      </c>
      <c r="H369" s="46">
        <v>1313</v>
      </c>
      <c r="I369" s="152"/>
      <c r="J369" s="132"/>
    </row>
    <row r="370" spans="1:10" ht="14.1" customHeight="1" x14ac:dyDescent="0.25">
      <c r="B370" s="74"/>
      <c r="C370" s="57" t="s">
        <v>50</v>
      </c>
      <c r="D370" s="35">
        <v>53374</v>
      </c>
      <c r="E370" s="175" t="s">
        <v>104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35" customHeight="1" x14ac:dyDescent="0.25">
      <c r="B371" s="74"/>
      <c r="C371" s="101" t="s">
        <v>120</v>
      </c>
      <c r="D371" s="181"/>
      <c r="E371" s="181"/>
      <c r="F371" s="181"/>
      <c r="G371" s="1"/>
      <c r="H371" s="181"/>
      <c r="I371" s="181"/>
      <c r="J371" s="242"/>
    </row>
    <row r="372" spans="1:10" ht="13.35" customHeight="1" x14ac:dyDescent="0.25">
      <c r="B372" s="74"/>
      <c r="C372" s="101" t="s">
        <v>105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2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2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25">
      <c r="B375" s="229"/>
      <c r="C375" s="232" t="s">
        <v>15</v>
      </c>
      <c r="D375" s="232"/>
      <c r="E375" s="232"/>
      <c r="F375" s="232"/>
      <c r="G375" s="232"/>
      <c r="H375" s="232"/>
      <c r="I375" s="232"/>
      <c r="J375" s="236"/>
    </row>
    <row r="376" spans="1:10" ht="18.75" customHeight="1" x14ac:dyDescent="0.25">
      <c r="B376" s="200"/>
      <c r="C376" s="222"/>
      <c r="D376" s="222"/>
      <c r="E376" s="222"/>
      <c r="F376" s="222"/>
      <c r="G376" s="222"/>
      <c r="H376" s="222"/>
      <c r="I376" s="222"/>
      <c r="J376" s="13"/>
    </row>
    <row r="377" spans="1:10" ht="64.5" customHeight="1" x14ac:dyDescent="0.25">
      <c r="B377" s="74"/>
      <c r="C377" s="221" t="s">
        <v>16</v>
      </c>
      <c r="D377" s="230" t="s">
        <v>17</v>
      </c>
      <c r="E377" s="68" t="s">
        <v>106</v>
      </c>
      <c r="F377" s="221" t="s">
        <v>142</v>
      </c>
      <c r="G377" s="221" t="s">
        <v>143</v>
      </c>
      <c r="H377" s="221" t="s">
        <v>144</v>
      </c>
      <c r="I377" s="221" t="s">
        <v>145</v>
      </c>
      <c r="J377" s="132"/>
    </row>
    <row r="378" spans="1:10" ht="14.1" customHeight="1" x14ac:dyDescent="0.25">
      <c r="A378" s="216"/>
      <c r="B378" s="74"/>
      <c r="C378" s="245" t="s">
        <v>19</v>
      </c>
      <c r="D378" s="249">
        <f t="shared" ref="D378:I378" si="14">D382+D381+D380+D379</f>
        <v>13765</v>
      </c>
      <c r="E378" s="249">
        <f t="shared" si="14"/>
        <v>16102</v>
      </c>
      <c r="F378" s="251">
        <f t="shared" si="14"/>
        <v>829.12040999999999</v>
      </c>
      <c r="G378" s="251">
        <f t="shared" si="14"/>
        <v>12721.389869999999</v>
      </c>
      <c r="H378" s="251">
        <f>H382+H381+H380+H379</f>
        <v>3380.6101300000005</v>
      </c>
      <c r="I378" s="251">
        <f t="shared" si="14"/>
        <v>4923.1150199999993</v>
      </c>
      <c r="J378" s="132"/>
    </row>
    <row r="379" spans="1:10" ht="14.1" customHeight="1" x14ac:dyDescent="0.25">
      <c r="A379" s="216"/>
      <c r="B379" s="74"/>
      <c r="C379" s="253" t="s">
        <v>107</v>
      </c>
      <c r="D379" s="254">
        <v>6472</v>
      </c>
      <c r="E379" s="254">
        <v>8177</v>
      </c>
      <c r="F379" s="255">
        <f>758.38765</f>
        <v>758.38765000000001</v>
      </c>
      <c r="G379" s="255">
        <f>7007.34135</f>
        <v>7007.3413499999997</v>
      </c>
      <c r="H379" s="255">
        <f t="shared" ref="H379:H383" si="15">E379-G379</f>
        <v>1169.6586500000003</v>
      </c>
      <c r="I379" s="255">
        <f>2366.54383</f>
        <v>2366.5438300000001</v>
      </c>
      <c r="J379" s="132"/>
    </row>
    <row r="380" spans="1:10" ht="14.1" customHeight="1" x14ac:dyDescent="0.25">
      <c r="A380" s="216"/>
      <c r="B380" s="74"/>
      <c r="C380" s="258" t="s">
        <v>21</v>
      </c>
      <c r="D380" s="254">
        <v>1684</v>
      </c>
      <c r="E380" s="254">
        <v>2128</v>
      </c>
      <c r="F380" s="255">
        <f>0</f>
        <v>0</v>
      </c>
      <c r="G380" s="255">
        <f>1408.0095</f>
        <v>1408.0094999999999</v>
      </c>
      <c r="H380" s="255">
        <f t="shared" si="15"/>
        <v>719.99050000000011</v>
      </c>
      <c r="I380" s="255">
        <f>490.4118</f>
        <v>490.41180000000003</v>
      </c>
      <c r="J380" s="132"/>
    </row>
    <row r="381" spans="1:10" ht="14.1" customHeight="1" x14ac:dyDescent="0.25">
      <c r="A381" s="216"/>
      <c r="B381" s="74"/>
      <c r="C381" s="258" t="s">
        <v>103</v>
      </c>
      <c r="D381" s="254">
        <v>1313</v>
      </c>
      <c r="E381" s="254">
        <v>1357</v>
      </c>
      <c r="F381" s="255">
        <f>29.70036</f>
        <v>29.70036</v>
      </c>
      <c r="G381" s="255">
        <f>1684.80032</f>
        <v>1684.8003200000001</v>
      </c>
      <c r="H381" s="255">
        <f t="shared" si="15"/>
        <v>-327.80032000000006</v>
      </c>
      <c r="I381" s="255">
        <f>1288.13599</f>
        <v>1288.13599</v>
      </c>
      <c r="J381" s="132"/>
    </row>
    <row r="382" spans="1:10" ht="14.1" customHeight="1" x14ac:dyDescent="0.25">
      <c r="A382" s="216"/>
      <c r="B382" s="74"/>
      <c r="C382" s="260" t="s">
        <v>108</v>
      </c>
      <c r="D382" s="261">
        <v>4296</v>
      </c>
      <c r="E382" s="261">
        <v>4440</v>
      </c>
      <c r="F382" s="255">
        <f>41.0324</f>
        <v>41.032400000000003</v>
      </c>
      <c r="G382" s="255">
        <f>2621.2387</f>
        <v>2621.2386999999999</v>
      </c>
      <c r="H382" s="255">
        <f t="shared" si="15"/>
        <v>1818.7613000000001</v>
      </c>
      <c r="I382" s="255">
        <f>778.0234</f>
        <v>778.02340000000004</v>
      </c>
      <c r="J382" s="132"/>
    </row>
    <row r="383" spans="1:10" ht="14.1" customHeight="1" x14ac:dyDescent="0.25">
      <c r="A383" s="216"/>
      <c r="B383" s="74"/>
      <c r="C383" s="263" t="s">
        <v>60</v>
      </c>
      <c r="D383" s="264">
        <v>5500</v>
      </c>
      <c r="E383" s="264">
        <v>5500</v>
      </c>
      <c r="F383" s="266">
        <f>2.028</f>
        <v>2.028</v>
      </c>
      <c r="G383" s="266">
        <f>5106.92928</f>
        <v>5106.9292800000003</v>
      </c>
      <c r="H383" s="266">
        <f t="shared" si="15"/>
        <v>393.07071999999971</v>
      </c>
      <c r="I383" s="266">
        <f>4546.98168</f>
        <v>4546.9816799999999</v>
      </c>
      <c r="J383" s="132"/>
    </row>
    <row r="384" spans="1:10" ht="14.1" customHeight="1" x14ac:dyDescent="0.25">
      <c r="A384" s="216"/>
      <c r="B384" s="74"/>
      <c r="C384" s="245" t="s">
        <v>22</v>
      </c>
      <c r="D384" s="249">
        <v>8000</v>
      </c>
      <c r="E384" s="249">
        <v>8000</v>
      </c>
      <c r="F384" s="267">
        <f>F386+F385</f>
        <v>106.86559</v>
      </c>
      <c r="G384" s="267">
        <f>G386+G385</f>
        <v>3358.07899</v>
      </c>
      <c r="H384" s="267">
        <f>E384-G384</f>
        <v>4641.92101</v>
      </c>
      <c r="I384" s="267">
        <f>I386+I385</f>
        <v>3304.9739399999999</v>
      </c>
      <c r="J384" s="132"/>
    </row>
    <row r="385" spans="1:10" ht="14.1" customHeight="1" x14ac:dyDescent="0.25">
      <c r="A385" s="216"/>
      <c r="B385" s="74"/>
      <c r="C385" s="258" t="s">
        <v>54</v>
      </c>
      <c r="D385" s="269"/>
      <c r="E385" s="254"/>
      <c r="F385" s="255">
        <f>2.8395</f>
        <v>2.8395000000000001</v>
      </c>
      <c r="G385" s="255">
        <f>854.43605</f>
        <v>854.43605000000002</v>
      </c>
      <c r="H385" s="255"/>
      <c r="I385" s="255">
        <f>1137.09941</f>
        <v>1137.09941</v>
      </c>
      <c r="J385" s="132"/>
    </row>
    <row r="386" spans="1:10" ht="14.1" customHeight="1" x14ac:dyDescent="0.25">
      <c r="A386" s="216"/>
      <c r="B386" s="74"/>
      <c r="C386" s="271" t="s">
        <v>109</v>
      </c>
      <c r="D386" s="272"/>
      <c r="E386" s="275"/>
      <c r="F386" s="276">
        <f>104.02609</f>
        <v>104.02609</v>
      </c>
      <c r="G386" s="276">
        <f>2503.64294</f>
        <v>2503.6429400000002</v>
      </c>
      <c r="H386" s="276"/>
      <c r="I386" s="276">
        <f>2167.87453</f>
        <v>2167.87453</v>
      </c>
      <c r="J386" s="132"/>
    </row>
    <row r="387" spans="1:10" ht="14.1" customHeight="1" x14ac:dyDescent="0.25">
      <c r="A387" s="216"/>
      <c r="B387" s="74"/>
      <c r="C387" s="263" t="s">
        <v>34</v>
      </c>
      <c r="D387" s="264">
        <v>10</v>
      </c>
      <c r="E387" s="264">
        <v>10</v>
      </c>
      <c r="F387" s="266">
        <f>0</f>
        <v>0</v>
      </c>
      <c r="G387" s="266">
        <f>0.0735</f>
        <v>7.3499999999999996E-2</v>
      </c>
      <c r="H387" s="266">
        <f>E387-G387</f>
        <v>9.9265000000000008</v>
      </c>
      <c r="I387" s="266">
        <f>0.39555</f>
        <v>0.39555000000000001</v>
      </c>
      <c r="J387" s="132"/>
    </row>
    <row r="388" spans="1:10" ht="14.1" customHeight="1" x14ac:dyDescent="0.25">
      <c r="A388" s="216"/>
      <c r="B388" s="74"/>
      <c r="C388" s="277" t="s">
        <v>110</v>
      </c>
      <c r="D388" s="280"/>
      <c r="E388" s="281"/>
      <c r="F388" s="266">
        <f>0.06756</f>
        <v>6.7559999999999995E-2</v>
      </c>
      <c r="G388" s="266">
        <f>115.32842</f>
        <v>115.32841999999999</v>
      </c>
      <c r="H388" s="266">
        <f>E388-G388</f>
        <v>-115.32841999999999</v>
      </c>
      <c r="I388" s="266">
        <f>231.52205</f>
        <v>231.52205000000001</v>
      </c>
      <c r="J388" s="132"/>
    </row>
    <row r="389" spans="1:10" ht="19.5" customHeight="1" x14ac:dyDescent="0.25">
      <c r="A389" s="216"/>
      <c r="B389" s="74"/>
      <c r="C389" s="283" t="s">
        <v>41</v>
      </c>
      <c r="D389" s="284">
        <f>D378+D383+D384+D387+D388</f>
        <v>27275</v>
      </c>
      <c r="E389" s="284">
        <f>E378+E383+E384+E387+E388</f>
        <v>29612</v>
      </c>
      <c r="F389" s="285">
        <f t="shared" ref="F389:I389" si="16">F378+F383+F384+F387+F388</f>
        <v>938.08155999999997</v>
      </c>
      <c r="G389" s="285">
        <f t="shared" si="16"/>
        <v>21301.800059999998</v>
      </c>
      <c r="H389" s="285">
        <f>H378+H383+H384+H387+H388</f>
        <v>8310.1999400000004</v>
      </c>
      <c r="I389" s="285">
        <f t="shared" si="16"/>
        <v>13006.988239999997</v>
      </c>
      <c r="J389" s="132"/>
    </row>
    <row r="390" spans="1:10" ht="14.1" customHeight="1" x14ac:dyDescent="0.25">
      <c r="A390" s="216"/>
      <c r="B390" s="74"/>
      <c r="C390" s="163" t="s">
        <v>111</v>
      </c>
      <c r="D390" s="287"/>
      <c r="E390" s="287"/>
      <c r="F390" s="4"/>
      <c r="G390" s="4"/>
      <c r="H390" s="5"/>
      <c r="I390" s="5"/>
      <c r="J390" s="132"/>
    </row>
    <row r="391" spans="1:10" ht="14.1" customHeight="1" x14ac:dyDescent="0.25">
      <c r="A391" s="216"/>
      <c r="B391" s="74"/>
      <c r="C391" s="101" t="s">
        <v>121</v>
      </c>
      <c r="D391" s="287"/>
      <c r="E391" s="287"/>
      <c r="F391" s="4"/>
      <c r="G391" s="4"/>
      <c r="H391" s="7"/>
      <c r="I391" s="5"/>
      <c r="J391" s="132"/>
    </row>
    <row r="392" spans="1:10" ht="14.1" customHeight="1" x14ac:dyDescent="0.25">
      <c r="A392" s="216"/>
      <c r="B392" s="74"/>
      <c r="C392" s="101" t="s">
        <v>122</v>
      </c>
      <c r="D392" s="287"/>
      <c r="E392" s="287"/>
      <c r="F392" s="4"/>
      <c r="G392" s="4"/>
      <c r="H392" s="5"/>
      <c r="I392" s="7"/>
      <c r="J392" s="132"/>
    </row>
    <row r="393" spans="1:10" ht="15.75" customHeight="1" x14ac:dyDescent="0.25">
      <c r="A393" s="216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15.75" customHeight="1" x14ac:dyDescent="0.25">
      <c r="A394" s="216"/>
      <c r="B394" s="152" t="s">
        <v>119</v>
      </c>
      <c r="C394" s="14"/>
      <c r="D394" s="1"/>
      <c r="E394" s="1"/>
      <c r="F394" s="1"/>
      <c r="G394" s="1"/>
      <c r="H394" s="1"/>
      <c r="I394" s="1"/>
      <c r="J394" s="152"/>
    </row>
    <row r="395" spans="1:10" ht="15.75" customHeight="1" x14ac:dyDescent="0.25">
      <c r="A395" s="216"/>
      <c r="B395" s="152" t="s">
        <v>119</v>
      </c>
      <c r="C395" s="14"/>
      <c r="D395" s="1"/>
      <c r="E395" s="1"/>
      <c r="F395" s="1"/>
      <c r="G395" s="1"/>
      <c r="H395" s="1"/>
      <c r="I395" s="1"/>
      <c r="J395" s="152"/>
    </row>
    <row r="396" spans="1:10" ht="14.1" customHeight="1" x14ac:dyDescent="0.25">
      <c r="A396" s="216"/>
      <c r="C396" s="152" t="s">
        <v>119</v>
      </c>
      <c r="D396" s="159"/>
    </row>
    <row r="397" spans="1:10" ht="14.1" customHeight="1" x14ac:dyDescent="0.25">
      <c r="A397" s="216"/>
      <c r="B397" s="126"/>
      <c r="C397" s="237"/>
      <c r="D397" s="17"/>
      <c r="E397" s="237"/>
      <c r="F397" s="237"/>
      <c r="G397" s="237"/>
      <c r="H397" s="237"/>
      <c r="I397" s="237"/>
      <c r="J397" s="62"/>
    </row>
    <row r="398" spans="1:10" ht="14.1" customHeight="1" x14ac:dyDescent="0.25">
      <c r="A398" s="216"/>
      <c r="B398" s="74"/>
      <c r="C398" s="217" t="s">
        <v>112</v>
      </c>
      <c r="D398" s="159"/>
      <c r="E398" s="152"/>
      <c r="G398" s="152"/>
      <c r="H398" s="152"/>
      <c r="I398" s="152"/>
      <c r="J398" s="132"/>
    </row>
    <row r="399" spans="1:10" ht="14.1" customHeight="1" x14ac:dyDescent="0.25">
      <c r="A399" s="216"/>
      <c r="B399" s="74"/>
      <c r="C399" s="152"/>
      <c r="D399" s="159"/>
      <c r="E399" s="152"/>
      <c r="G399" s="152"/>
      <c r="H399" s="152"/>
      <c r="I399" s="152"/>
      <c r="J399" s="132"/>
    </row>
    <row r="400" spans="1:10" ht="14.1" customHeight="1" x14ac:dyDescent="0.25">
      <c r="A400" s="216"/>
      <c r="B400" s="74"/>
      <c r="C400" s="151" t="s">
        <v>113</v>
      </c>
      <c r="D400" s="187"/>
      <c r="E400" s="152"/>
      <c r="F400" s="152"/>
      <c r="G400" s="152"/>
      <c r="H400" s="152"/>
      <c r="I400" s="152"/>
      <c r="J400" s="132"/>
    </row>
    <row r="401" spans="1:10" ht="14.1" customHeight="1" x14ac:dyDescent="0.25">
      <c r="A401" s="216"/>
      <c r="B401" s="74"/>
      <c r="C401" s="257" t="s">
        <v>6</v>
      </c>
      <c r="D401" s="268"/>
      <c r="E401" s="152"/>
      <c r="F401" s="152"/>
      <c r="G401" s="152"/>
      <c r="H401" s="152"/>
      <c r="I401" s="152"/>
      <c r="J401" s="132"/>
    </row>
    <row r="402" spans="1:10" ht="14.1" customHeight="1" x14ac:dyDescent="0.25">
      <c r="A402" s="216"/>
      <c r="B402" s="74"/>
      <c r="C402" s="246" t="s">
        <v>92</v>
      </c>
      <c r="D402" s="46"/>
      <c r="E402" s="152"/>
      <c r="G402" s="152"/>
      <c r="H402" s="152"/>
      <c r="I402" s="152"/>
      <c r="J402" s="132"/>
    </row>
    <row r="403" spans="1:10" ht="14.1" customHeight="1" x14ac:dyDescent="0.25">
      <c r="A403" s="216"/>
      <c r="B403" s="74"/>
      <c r="C403" s="246" t="s">
        <v>75</v>
      </c>
      <c r="D403" s="46"/>
      <c r="E403" s="152"/>
      <c r="F403" s="152"/>
      <c r="G403" s="152"/>
      <c r="H403" s="152"/>
      <c r="I403" s="152"/>
      <c r="J403" s="132"/>
    </row>
    <row r="404" spans="1:10" ht="14.1" customHeight="1" x14ac:dyDescent="0.25">
      <c r="A404" s="216"/>
      <c r="B404" s="74"/>
      <c r="C404" s="57" t="s">
        <v>50</v>
      </c>
      <c r="D404" s="35"/>
      <c r="E404" s="152"/>
      <c r="F404" s="152"/>
      <c r="G404" s="152"/>
      <c r="H404" s="152"/>
      <c r="I404" s="152"/>
      <c r="J404" s="132"/>
    </row>
    <row r="405" spans="1:10" ht="14.1" customHeight="1" x14ac:dyDescent="0.25">
      <c r="A405" s="216"/>
      <c r="B405" s="74"/>
      <c r="C405" s="226"/>
      <c r="D405" s="147"/>
      <c r="E405" s="152"/>
      <c r="F405" s="152"/>
      <c r="G405" s="152"/>
      <c r="H405" s="152"/>
      <c r="I405" s="152"/>
      <c r="J405" s="132"/>
    </row>
    <row r="406" spans="1:10" ht="14.1" customHeight="1" x14ac:dyDescent="0.25">
      <c r="A406" s="216"/>
      <c r="B406" s="74"/>
      <c r="C406" s="101"/>
      <c r="D406" s="133"/>
      <c r="E406" s="152"/>
      <c r="F406" s="152"/>
      <c r="G406" s="152"/>
      <c r="H406" s="152"/>
      <c r="I406" s="152"/>
      <c r="J406" s="132"/>
    </row>
    <row r="407" spans="1:10" ht="14.1" customHeight="1" x14ac:dyDescent="0.25">
      <c r="A407" s="216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" customHeight="1" x14ac:dyDescent="0.25">
      <c r="A408" s="216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x14ac:dyDescent="0.25">
      <c r="A409" s="216"/>
      <c r="B409" s="229"/>
      <c r="C409" s="232" t="s">
        <v>15</v>
      </c>
      <c r="D409" s="232"/>
      <c r="E409" s="232"/>
      <c r="F409" s="232"/>
      <c r="G409" s="232"/>
      <c r="H409" s="232"/>
      <c r="I409" s="232"/>
      <c r="J409" s="236"/>
    </row>
    <row r="410" spans="1:10" ht="78" customHeight="1" x14ac:dyDescent="0.25">
      <c r="A410" s="216"/>
      <c r="B410" s="200"/>
      <c r="C410" s="20" t="s">
        <v>114</v>
      </c>
      <c r="D410" s="22" t="s">
        <v>115</v>
      </c>
      <c r="E410" s="20" t="s">
        <v>142</v>
      </c>
      <c r="F410" s="20" t="s">
        <v>143</v>
      </c>
      <c r="G410" s="25" t="s">
        <v>144</v>
      </c>
      <c r="H410" s="20" t="s">
        <v>145</v>
      </c>
      <c r="I410" s="222"/>
      <c r="J410" s="13"/>
    </row>
    <row r="411" spans="1:10" ht="14.1" customHeight="1" x14ac:dyDescent="0.25">
      <c r="A411" s="216"/>
      <c r="B411" s="74"/>
      <c r="C411" s="263" t="s">
        <v>116</v>
      </c>
      <c r="D411" s="10"/>
      <c r="E411" s="26">
        <f>E413+E412</f>
        <v>0</v>
      </c>
      <c r="F411" s="26">
        <f>F413+F412</f>
        <v>2196.7471299999997</v>
      </c>
      <c r="G411" s="87"/>
      <c r="H411" s="26">
        <f>SUM(H412:H413)</f>
        <v>1387.6323299999999</v>
      </c>
      <c r="I411" s="27"/>
      <c r="J411" s="132"/>
    </row>
    <row r="412" spans="1:10" ht="14.1" customHeight="1" x14ac:dyDescent="0.25">
      <c r="A412" s="216"/>
      <c r="B412" s="74"/>
      <c r="C412" s="29" t="s">
        <v>8</v>
      </c>
      <c r="D412" s="206"/>
      <c r="E412" s="207">
        <f>0</f>
        <v>0</v>
      </c>
      <c r="F412" s="207">
        <f>1713.27513</f>
        <v>1713.27513</v>
      </c>
      <c r="G412" s="208"/>
      <c r="H412" s="207">
        <f>1082.54115</f>
        <v>1082.54115</v>
      </c>
      <c r="I412" s="152"/>
      <c r="J412" s="132"/>
    </row>
    <row r="413" spans="1:10" ht="14.1" customHeight="1" x14ac:dyDescent="0.25">
      <c r="A413" s="216"/>
      <c r="B413" s="74"/>
      <c r="C413" s="29" t="s">
        <v>11</v>
      </c>
      <c r="D413" s="209"/>
      <c r="E413" s="210">
        <f>0</f>
        <v>0</v>
      </c>
      <c r="F413" s="210">
        <f>483.472</f>
        <v>483.47199999999998</v>
      </c>
      <c r="G413" s="211"/>
      <c r="H413" s="210">
        <f>305.09118</f>
        <v>305.09118000000001</v>
      </c>
      <c r="I413" s="152"/>
      <c r="J413" s="132"/>
    </row>
    <row r="414" spans="1:10" ht="14.1" customHeight="1" x14ac:dyDescent="0.25">
      <c r="A414" s="216"/>
      <c r="B414" s="74"/>
      <c r="C414" s="263" t="s">
        <v>117</v>
      </c>
      <c r="D414" s="10"/>
      <c r="E414" s="26">
        <f>SUM(E415:E416)</f>
        <v>0</v>
      </c>
      <c r="F414" s="26">
        <f>SUM(F415:F416)</f>
        <v>1461.08285</v>
      </c>
      <c r="G414" s="87"/>
      <c r="H414" s="26">
        <f>SUM(H415:H416)</f>
        <v>1811.0628700000002</v>
      </c>
      <c r="I414" s="27"/>
      <c r="J414" s="132"/>
    </row>
    <row r="415" spans="1:10" ht="14.1" customHeight="1" x14ac:dyDescent="0.25">
      <c r="A415" s="216"/>
      <c r="B415" s="74"/>
      <c r="C415" s="29" t="s">
        <v>8</v>
      </c>
      <c r="D415" s="44"/>
      <c r="E415" s="30">
        <f>0</f>
        <v>0</v>
      </c>
      <c r="F415" s="30">
        <f>1121.24477</f>
        <v>1121.24477</v>
      </c>
      <c r="G415" s="99"/>
      <c r="H415" s="30">
        <f>1413.4299</f>
        <v>1413.4299000000001</v>
      </c>
      <c r="I415" s="152"/>
      <c r="J415" s="132"/>
    </row>
    <row r="416" spans="1:10" ht="14.1" customHeight="1" x14ac:dyDescent="0.25">
      <c r="A416" s="216"/>
      <c r="B416" s="74"/>
      <c r="C416" s="29" t="s">
        <v>11</v>
      </c>
      <c r="D416" s="219"/>
      <c r="E416" s="30">
        <f>0</f>
        <v>0</v>
      </c>
      <c r="F416" s="30">
        <f>339.83808</f>
        <v>339.83807999999999</v>
      </c>
      <c r="G416" s="110"/>
      <c r="H416" s="30">
        <f>397.63297</f>
        <v>397.63297</v>
      </c>
      <c r="I416" s="152"/>
      <c r="J416" s="132"/>
    </row>
    <row r="417" spans="1:10" ht="14.1" customHeight="1" x14ac:dyDescent="0.25">
      <c r="A417" s="216"/>
      <c r="B417" s="74"/>
      <c r="C417" s="263" t="s">
        <v>118</v>
      </c>
      <c r="D417" s="10"/>
      <c r="E417" s="36">
        <f>SUM(E418:E419)</f>
        <v>43.148510000000002</v>
      </c>
      <c r="F417" s="36">
        <f>SUM(F418:F419)</f>
        <v>46.117509999999996</v>
      </c>
      <c r="G417" s="87"/>
      <c r="H417" s="36">
        <f>SUM(H418:H419)</f>
        <v>144.23148</v>
      </c>
      <c r="I417" s="152"/>
      <c r="J417" s="132"/>
    </row>
    <row r="418" spans="1:10" ht="14.1" customHeight="1" x14ac:dyDescent="0.25">
      <c r="A418" s="216"/>
      <c r="B418" s="74"/>
      <c r="C418" s="29" t="s">
        <v>8</v>
      </c>
      <c r="D418" s="44"/>
      <c r="E418" s="30">
        <f>33.4025</f>
        <v>33.402500000000003</v>
      </c>
      <c r="F418" s="30">
        <f>35.0725</f>
        <v>35.072499999999998</v>
      </c>
      <c r="G418" s="99"/>
      <c r="H418" s="30">
        <f>117.84298</f>
        <v>117.84298</v>
      </c>
      <c r="I418" s="152"/>
      <c r="J418" s="132"/>
    </row>
    <row r="419" spans="1:10" ht="14.1" customHeight="1" x14ac:dyDescent="0.25">
      <c r="A419" s="216"/>
      <c r="B419" s="74"/>
      <c r="C419" s="29" t="s">
        <v>11</v>
      </c>
      <c r="D419" s="219"/>
      <c r="E419" s="30">
        <f>9.74601</f>
        <v>9.7460100000000001</v>
      </c>
      <c r="F419" s="30">
        <f>11.04501</f>
        <v>11.04501</v>
      </c>
      <c r="G419" s="110"/>
      <c r="H419" s="30">
        <f>26.3885</f>
        <v>26.388500000000001</v>
      </c>
      <c r="I419" s="152"/>
      <c r="J419" s="132"/>
    </row>
    <row r="420" spans="1:10" ht="14.1" customHeight="1" x14ac:dyDescent="0.25">
      <c r="A420" s="216"/>
      <c r="B420" s="74"/>
      <c r="C420" s="277" t="s">
        <v>98</v>
      </c>
      <c r="D420" s="37"/>
      <c r="E420" s="39"/>
      <c r="F420" s="39"/>
      <c r="G420" s="40"/>
      <c r="H420" s="39"/>
      <c r="I420" s="152"/>
      <c r="J420" s="132"/>
    </row>
    <row r="421" spans="1:10" ht="14.1" customHeight="1" x14ac:dyDescent="0.25">
      <c r="A421" s="216"/>
      <c r="B421" s="74"/>
      <c r="C421" s="283" t="s">
        <v>88</v>
      </c>
      <c r="D421" s="41"/>
      <c r="E421" s="42">
        <f>E411+E414+E417+E420</f>
        <v>43.148510000000002</v>
      </c>
      <c r="F421" s="42">
        <f>F411+F414+F417+F420</f>
        <v>3703.9474899999996</v>
      </c>
      <c r="G421" s="43"/>
      <c r="H421" s="42">
        <f>H411+H414+H417+H420</f>
        <v>3342.92668</v>
      </c>
      <c r="I421" s="27"/>
      <c r="J421" s="132"/>
    </row>
    <row r="422" spans="1:10" ht="18.75" customHeight="1" x14ac:dyDescent="0.25">
      <c r="A422" s="216"/>
      <c r="B422" s="74"/>
      <c r="C422" s="152" t="s">
        <v>140</v>
      </c>
      <c r="D422" s="159"/>
      <c r="E422" s="152"/>
      <c r="F422" s="152"/>
      <c r="G422" s="152"/>
      <c r="H422" s="152"/>
      <c r="I422" s="152"/>
      <c r="J422" s="132"/>
    </row>
    <row r="423" spans="1:10" ht="14.1" customHeight="1" x14ac:dyDescent="0.25">
      <c r="A423" s="216"/>
      <c r="B423" s="8"/>
      <c r="C423" s="212" t="s">
        <v>141</v>
      </c>
      <c r="D423" s="202"/>
      <c r="E423" s="212"/>
      <c r="F423" s="212"/>
      <c r="G423" s="212"/>
      <c r="H423" s="212"/>
      <c r="I423" s="212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1"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36&amp;R11.09.2023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2023-09-11T07:51:20Z</dcterms:modified>
</cp:coreProperties>
</file>