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415EFB05-1934-43D6-ACCA-F030110BE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 l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H412" i="1"/>
  <c r="F412" i="1"/>
  <c r="E412" i="1"/>
  <c r="E411" i="1" s="1"/>
  <c r="E421" i="1" s="1"/>
  <c r="H411" i="1"/>
  <c r="H421" i="1" s="1"/>
  <c r="F411" i="1"/>
  <c r="F421" i="1" s="1"/>
  <c r="D389" i="1"/>
  <c r="I388" i="1"/>
  <c r="G388" i="1"/>
  <c r="H388" i="1" s="1"/>
  <c r="F388" i="1"/>
  <c r="I387" i="1"/>
  <c r="G387" i="1"/>
  <c r="H387" i="1" s="1"/>
  <c r="F387" i="1"/>
  <c r="I386" i="1"/>
  <c r="I384" i="1" s="1"/>
  <c r="G386" i="1"/>
  <c r="F386" i="1"/>
  <c r="F384" i="1" s="1"/>
  <c r="I385" i="1"/>
  <c r="G385" i="1"/>
  <c r="F385" i="1"/>
  <c r="H384" i="1"/>
  <c r="G384" i="1"/>
  <c r="I383" i="1"/>
  <c r="G383" i="1"/>
  <c r="H383" i="1" s="1"/>
  <c r="F383" i="1"/>
  <c r="I382" i="1"/>
  <c r="H382" i="1"/>
  <c r="G382" i="1"/>
  <c r="F382" i="1"/>
  <c r="I381" i="1"/>
  <c r="I378" i="1" s="1"/>
  <c r="G381" i="1"/>
  <c r="H381" i="1" s="1"/>
  <c r="H378" i="1" s="1"/>
  <c r="H389" i="1" s="1"/>
  <c r="F381" i="1"/>
  <c r="F378" i="1" s="1"/>
  <c r="F389" i="1" s="1"/>
  <c r="I380" i="1"/>
  <c r="H380" i="1"/>
  <c r="G380" i="1"/>
  <c r="F380" i="1"/>
  <c r="I379" i="1"/>
  <c r="G379" i="1"/>
  <c r="H379" i="1" s="1"/>
  <c r="F379" i="1"/>
  <c r="G378" i="1"/>
  <c r="G389" i="1" s="1"/>
  <c r="E378" i="1"/>
  <c r="E389" i="1" s="1"/>
  <c r="D378" i="1"/>
  <c r="H370" i="1"/>
  <c r="F370" i="1"/>
  <c r="D352" i="1"/>
  <c r="H351" i="1"/>
  <c r="F351" i="1"/>
  <c r="E351" i="1"/>
  <c r="H350" i="1"/>
  <c r="G350" i="1"/>
  <c r="F350" i="1"/>
  <c r="E350" i="1"/>
  <c r="H349" i="1"/>
  <c r="F349" i="1"/>
  <c r="G349" i="1" s="1"/>
  <c r="E349" i="1"/>
  <c r="H348" i="1"/>
  <c r="H352" i="1" s="1"/>
  <c r="G348" i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E252" i="1"/>
  <c r="H251" i="1"/>
  <c r="F251" i="1"/>
  <c r="E251" i="1"/>
  <c r="H250" i="1"/>
  <c r="F250" i="1"/>
  <c r="E250" i="1"/>
  <c r="H249" i="1"/>
  <c r="H252" i="1" s="1"/>
  <c r="F249" i="1"/>
  <c r="F252" i="1" s="1"/>
  <c r="G252" i="1" s="1"/>
  <c r="E249" i="1"/>
  <c r="F207" i="1"/>
  <c r="G207" i="1" s="1"/>
  <c r="D207" i="1"/>
  <c r="G206" i="1"/>
  <c r="H205" i="1"/>
  <c r="F205" i="1"/>
  <c r="G205" i="1" s="1"/>
  <c r="E205" i="1"/>
  <c r="H204" i="1"/>
  <c r="H207" i="1" s="1"/>
  <c r="G204" i="1"/>
  <c r="F204" i="1"/>
  <c r="E204" i="1"/>
  <c r="E207" i="1" s="1"/>
  <c r="D184" i="1"/>
  <c r="H182" i="1"/>
  <c r="F182" i="1"/>
  <c r="G182" i="1" s="1"/>
  <c r="E182" i="1"/>
  <c r="H181" i="1"/>
  <c r="F181" i="1"/>
  <c r="E181" i="1"/>
  <c r="E178" i="1" s="1"/>
  <c r="H180" i="1"/>
  <c r="F180" i="1"/>
  <c r="E180" i="1"/>
  <c r="H179" i="1"/>
  <c r="H178" i="1" s="1"/>
  <c r="H184" i="1" s="1"/>
  <c r="F179" i="1"/>
  <c r="E179" i="1"/>
  <c r="F178" i="1"/>
  <c r="G178" i="1" s="1"/>
  <c r="H177" i="1"/>
  <c r="F177" i="1"/>
  <c r="G177" i="1" s="1"/>
  <c r="E177" i="1"/>
  <c r="H176" i="1"/>
  <c r="F176" i="1"/>
  <c r="E176" i="1"/>
  <c r="H175" i="1"/>
  <c r="F175" i="1"/>
  <c r="F184" i="1" s="1"/>
  <c r="E175" i="1"/>
  <c r="E184" i="1" s="1"/>
  <c r="D150" i="1"/>
  <c r="I148" i="1"/>
  <c r="G148" i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H139" i="1" s="1"/>
  <c r="G140" i="1"/>
  <c r="G139" i="1" s="1"/>
  <c r="F140" i="1"/>
  <c r="F139" i="1" s="1"/>
  <c r="F133" i="1" s="1"/>
  <c r="I139" i="1"/>
  <c r="E139" i="1"/>
  <c r="I138" i="1"/>
  <c r="I134" i="1" s="1"/>
  <c r="I133" i="1" s="1"/>
  <c r="H138" i="1"/>
  <c r="F138" i="1"/>
  <c r="I137" i="1"/>
  <c r="H137" i="1"/>
  <c r="F137" i="1"/>
  <c r="I136" i="1"/>
  <c r="H136" i="1"/>
  <c r="F136" i="1"/>
  <c r="I135" i="1"/>
  <c r="H135" i="1"/>
  <c r="F135" i="1"/>
  <c r="G134" i="1"/>
  <c r="F134" i="1"/>
  <c r="E134" i="1"/>
  <c r="E133" i="1" s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G129" i="1"/>
  <c r="H129" i="1" s="1"/>
  <c r="F129" i="1"/>
  <c r="F128" i="1" s="1"/>
  <c r="F150" i="1" s="1"/>
  <c r="I128" i="1"/>
  <c r="I150" i="1" s="1"/>
  <c r="E128" i="1"/>
  <c r="E150" i="1" s="1"/>
  <c r="C126" i="1"/>
  <c r="H106" i="1"/>
  <c r="I105" i="1"/>
  <c r="H105" i="1"/>
  <c r="G105" i="1"/>
  <c r="F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H96" i="1" s="1"/>
  <c r="H95" i="1" s="1"/>
  <c r="G97" i="1"/>
  <c r="G96" i="1" s="1"/>
  <c r="G95" i="1" s="1"/>
  <c r="G107" i="1" s="1"/>
  <c r="F97" i="1"/>
  <c r="F96" i="1" s="1"/>
  <c r="F95" i="1" s="1"/>
  <c r="F107" i="1" s="1"/>
  <c r="I96" i="1"/>
  <c r="I95" i="1" s="1"/>
  <c r="E96" i="1"/>
  <c r="E95" i="1" s="1"/>
  <c r="E107" i="1" s="1"/>
  <c r="D96" i="1"/>
  <c r="D95" i="1" s="1"/>
  <c r="D107" i="1" s="1"/>
  <c r="I94" i="1"/>
  <c r="H94" i="1"/>
  <c r="G94" i="1"/>
  <c r="F94" i="1"/>
  <c r="I93" i="1"/>
  <c r="I92" i="1" s="1"/>
  <c r="H93" i="1"/>
  <c r="G93" i="1"/>
  <c r="F93" i="1"/>
  <c r="H92" i="1"/>
  <c r="G92" i="1"/>
  <c r="F92" i="1"/>
  <c r="E92" i="1"/>
  <c r="C89" i="1"/>
  <c r="H85" i="1"/>
  <c r="F85" i="1"/>
  <c r="D85" i="1"/>
  <c r="G61" i="1"/>
  <c r="G60" i="1"/>
  <c r="H55" i="1"/>
  <c r="I32" i="1" s="1"/>
  <c r="F55" i="1"/>
  <c r="G55" i="1" s="1"/>
  <c r="E55" i="1"/>
  <c r="E44" i="1"/>
  <c r="D44" i="1"/>
  <c r="H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I34" i="1" s="1"/>
  <c r="G35" i="1"/>
  <c r="H35" i="1" s="1"/>
  <c r="F35" i="1"/>
  <c r="F34" i="1" s="1"/>
  <c r="I33" i="1"/>
  <c r="G33" i="1"/>
  <c r="H33" i="1" s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F27" i="1"/>
  <c r="I25" i="1"/>
  <c r="G25" i="1"/>
  <c r="H25" i="1" s="1"/>
  <c r="F25" i="1"/>
  <c r="I24" i="1"/>
  <c r="I23" i="1" s="1"/>
  <c r="G24" i="1"/>
  <c r="H24" i="1" s="1"/>
  <c r="F24" i="1"/>
  <c r="G23" i="1"/>
  <c r="F23" i="1"/>
  <c r="H16" i="1"/>
  <c r="F16" i="1"/>
  <c r="D16" i="1"/>
  <c r="G133" i="1" l="1"/>
  <c r="F26" i="1"/>
  <c r="I27" i="1"/>
  <c r="I26" i="1" s="1"/>
  <c r="I44" i="1" s="1"/>
  <c r="I107" i="1"/>
  <c r="H134" i="1"/>
  <c r="H133" i="1" s="1"/>
  <c r="H23" i="1"/>
  <c r="H128" i="1"/>
  <c r="I389" i="1"/>
  <c r="F44" i="1"/>
  <c r="G184" i="1"/>
  <c r="H107" i="1"/>
  <c r="H27" i="1"/>
  <c r="G128" i="1"/>
  <c r="G175" i="1"/>
  <c r="G34" i="1"/>
  <c r="G27" i="1"/>
  <c r="H150" i="1" l="1"/>
  <c r="G150" i="1"/>
  <c r="G26" i="1"/>
  <c r="G44" i="1" s="1"/>
  <c r="H34" i="1"/>
  <c r="H26" i="1" s="1"/>
  <c r="H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<sst xmlns="http://schemas.openxmlformats.org/spreadsheetml/2006/main" count="358" uniqueCount="150">
  <si>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</si>
  <si>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</si>
  <si>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</si>
  <si>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</si>
  <si>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</si>
  <si>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</si>
  <si>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</si>
  <si>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</si>
  <si>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</si>
  <si>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</si>
  <si>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</si>
  <si>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</si>
  <si>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</si>
  <si>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</si>
  <si>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</si>
  <si>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</si>
  <si>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</si>
  <si>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</si>
  <si>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</si>
  <si>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</si>
  <si>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</si>
  <si>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</si>
  <si>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</si>
  <si>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</si>
  <si>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</si>
  <si>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</si>
  <si>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</si>
  <si>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</si>
  <si>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</si>
  <si>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</si>
  <si>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</si>
  <si>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</si>
  <si>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</si>
  <si>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</si>
  <si>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</si>
  <si>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</si>
  <si>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</si>
  <si>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</si>
  <si>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</si>
  <si>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</si>
  <si>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</si>
  <si>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</si>
  <si>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</si>
  <si>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</si>
  <si>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</si>
  <si>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</si>
  <si>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</si>
  <si>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</si>
  <si>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</si>
  <si>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</si>
  <si>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</si>
  <si>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</si>
  <si>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</si>
  <si>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</si>
  <si>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</si>
  <si>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</si>
  <si>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</si>
  <si>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</si>
  <si>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</si>
  <si>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</si>
  <si>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</si>
  <si>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</si>
  <si>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</si>
  <si>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</si>
  <si>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</si>
  <si>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</si>
  <si>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</si>
  <si>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</si>
  <si>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</si>
  <si>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</si>
  <si>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</si>
  <si>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</si>
  <si>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</si>
  <si>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</si>
  <si>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</si>
  <si>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</si>
  <si>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</si>
  <si>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</si>
  <si>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</si>
  <si>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</si>
  <si>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</si>
  <si>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</si>
  <si>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</si>
  <si>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</si>
  <si>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</si>
  <si>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</si>
  <si>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</si>
  <si>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</si>
  <si>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</si>
  <si>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</si>
  <si>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</si>
  <si>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</si>
  <si>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</si>
  <si>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</si>
  <si>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</si>
  <si>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</si>
  <si>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</si>
  <si>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</si>
  <si>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</si>
  <si>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</si>
  <si>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</si>
  <si>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</si>
  <si>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</si>
  <si>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</si>
  <si>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</si>
  <si>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</si>
  <si>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</si>
  <si>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</si>
  <si>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</si>
  <si>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</si>
  <si>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</si>
  <si>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</si>
  <si>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</si>
  <si>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</si>
  <si>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</si>
  <si>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</si>
  <si>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</si>
  <si>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</si>
  <si>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</si>
  <si>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</si>
  <si>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</si>
  <si>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</si>
  <si>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</si>
  <si>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</si>
  <si>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</si>
  <si>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</si>
  <si>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</si>
  <si>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</si>
  <si>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</si>
  <si>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</si>
  <si>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</si>
  <si>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</si>
  <si>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</si>
  <si>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</si>
  <si>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</si>
  <si>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</si>
  <si>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</si>
  <si>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</si>
  <si>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</si>
  <si>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</si>
  <si>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</si>
  <si>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</si>
  <si>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44</t>
  </si>
  <si>
    <t>FANGST T.O.M UKE 44</t>
  </si>
  <si>
    <t>RESTKVOTER UKE 44</t>
  </si>
  <si>
    <t>FANGST T.O.M UKE 44 2022</t>
  </si>
  <si>
    <r>
      <t xml:space="preserve">3 </t>
    </r>
    <r>
      <rPr>
        <sz val="9"/>
        <color indexed="8"/>
        <rFont val="Calibri"/>
        <family val="2"/>
      </rPr>
      <t>Registrert rekreasjonsfiske utgjør 721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</si>
  <si>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68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</si>
  <si>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681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</si>
  <si>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7 112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</si>
</sst>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showWhiteSpace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139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2028.0269999999998</v>
      </c>
      <c r="G23" s="28">
        <f t="shared" si="0"/>
        <v>68393.61755000001</v>
      </c>
      <c r="H23" s="11">
        <f t="shared" si="0"/>
        <v>18433.382449999997</v>
      </c>
      <c r="I23" s="11">
        <f t="shared" si="0"/>
        <v>85718.589600000007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2020.7685</f>
        <v>2020.7684999999999</v>
      </c>
      <c r="G24" s="23">
        <f>67827.7792</f>
        <v>67827.779200000004</v>
      </c>
      <c r="H24" s="23">
        <f>E24-G24</f>
        <v>18217.220799999996</v>
      </c>
      <c r="I24" s="23">
        <f>85135.5133</f>
        <v>85135.513300000006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7.2585</f>
        <v>7.2584999999999997</v>
      </c>
      <c r="G25" s="23">
        <f>565.83835</f>
        <v>565.83834999999999</v>
      </c>
      <c r="H25" s="23">
        <f>E25-G25</f>
        <v>216.16165000000001</v>
      </c>
      <c r="I25" s="23">
        <f>583.0763</f>
        <v>583.07629999999995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1556.7495699999999</v>
      </c>
      <c r="G26" s="11">
        <f t="shared" si="1"/>
        <v>180621.78761</v>
      </c>
      <c r="H26" s="11">
        <f t="shared" si="1"/>
        <v>16948.212390000001</v>
      </c>
      <c r="I26" s="11">
        <f t="shared" si="1"/>
        <v>220732.05554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873.19148999999993</v>
      </c>
      <c r="G27" s="134">
        <f t="shared" ref="G27:I27" si="2">G28+G29+G30+G31+G32</f>
        <v>141641.43381000002</v>
      </c>
      <c r="H27" s="134">
        <f t="shared" si="2"/>
        <v>11009.566190000001</v>
      </c>
      <c r="I27" s="134">
        <f t="shared" si="2"/>
        <v>177768.05429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175.93297</f>
        <v>175.93297000000001</v>
      </c>
      <c r="G28" s="129">
        <f>37872.34777 - F57</f>
        <v>35569.34777</v>
      </c>
      <c r="H28" s="129">
        <f t="shared" ref="H28:H40" si="3">E28-G28</f>
        <v>3979.6522299999997</v>
      </c>
      <c r="I28" s="129">
        <f>44428.43142 - H57</f>
        <v>41427.431420000001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337.68316</f>
        <v>337.68315999999999</v>
      </c>
      <c r="G29" s="129">
        <f>40904.89894 - F58</f>
        <v>38371.898939999999</v>
      </c>
      <c r="H29" s="129">
        <f t="shared" si="3"/>
        <v>2392.1010600000009</v>
      </c>
      <c r="I29" s="129">
        <f>49893.82957 - H58</f>
        <v>47771.829570000002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76.1786</f>
        <v>76.178600000000003</v>
      </c>
      <c r="G30" s="129">
        <f>37297.70082 - F59</f>
        <v>36112.700819999998</v>
      </c>
      <c r="H30" s="129">
        <f t="shared" si="3"/>
        <v>1154.2991800000018</v>
      </c>
      <c r="I30" s="129">
        <f>48419.68215 - H59</f>
        <v>47170.682150000001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0.39676</f>
        <v>0.39676</v>
      </c>
      <c r="G31" s="129">
        <f>25222.48628 - F60</f>
        <v>24455.486280000001</v>
      </c>
      <c r="H31" s="129">
        <f t="shared" si="3"/>
        <v>951.51371999999901</v>
      </c>
      <c r="I31" s="129">
        <f>34380.11115 - H60</f>
        <v>33696.111149999997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283</v>
      </c>
      <c r="G32" s="129">
        <f>F55</f>
        <v>7132</v>
      </c>
      <c r="H32" s="129">
        <f t="shared" si="3"/>
        <v>2532</v>
      </c>
      <c r="I32" s="129">
        <f>H55</f>
        <v>7702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506.01506</f>
        <v>506.01506000000001</v>
      </c>
      <c r="G33" s="134">
        <f>17564.04467</f>
        <v>17564.044669999999</v>
      </c>
      <c r="H33" s="134">
        <f t="shared" si="3"/>
        <v>6021.9553300000007</v>
      </c>
      <c r="I33" s="134">
        <f>21821.33479</f>
        <v>21821.334790000001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177.54302000000001</v>
      </c>
      <c r="G34" s="134">
        <f>G35+G36</f>
        <v>21416.309130000001</v>
      </c>
      <c r="H34" s="134">
        <f t="shared" si="3"/>
        <v>-83.30913000000146</v>
      </c>
      <c r="I34" s="134">
        <f>I35+I36</f>
        <v>21142.66646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118.54302</f>
        <v>118.54302</v>
      </c>
      <c r="G35" s="134">
        <f>25084.30913 - F61 - F62</f>
        <v>20649.309130000001</v>
      </c>
      <c r="H35" s="129">
        <f t="shared" si="3"/>
        <v>-516.30913000000146</v>
      </c>
      <c r="I35" s="129">
        <f>22141.66646 - H61 - H62</f>
        <v>20458.66646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59</v>
      </c>
      <c r="G36" s="73">
        <f>F60</f>
        <v>767</v>
      </c>
      <c r="H36" s="73">
        <f t="shared" si="3"/>
        <v>433</v>
      </c>
      <c r="I36" s="73">
        <f>H60</f>
        <v>684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11.376</f>
        <v>11.375999999999999</v>
      </c>
      <c r="G38" s="100">
        <f>526.09112</f>
        <v>526.09112000000005</v>
      </c>
      <c r="H38" s="100">
        <f t="shared" si="3"/>
        <v>324.90887999999995</v>
      </c>
      <c r="I38" s="100">
        <f>506.47138</f>
        <v>506.47138000000001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16</v>
      </c>
      <c r="G39" s="100">
        <f>F61</f>
        <v>4435</v>
      </c>
      <c r="H39" s="100">
        <f t="shared" si="3"/>
        <v>-1387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3.08012</f>
        <v>3.08012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0.05725</f>
        <v>5.7250000000000002E-2</v>
      </c>
      <c r="G41" s="100">
        <f>357.7691</f>
        <v>357.76909999999998</v>
      </c>
      <c r="H41" s="100">
        <f>E41-G41</f>
        <v>-57.76909999999998</v>
      </c>
      <c r="I41" s="100">
        <f>125.46505</f>
        <v>125.46505000000001</v>
      </c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3615.2929400000003</v>
      </c>
      <c r="G44" s="78">
        <f t="shared" si="4"/>
        <v>262160.61798000004</v>
      </c>
      <c r="H44" s="78">
        <f t="shared" si="4"/>
        <v>36535.382019999975</v>
      </c>
      <c r="I44" s="78">
        <f t="shared" si="4"/>
        <v>316331.5906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283</v>
      </c>
      <c r="F55" s="11">
        <f>F59+F58+F57+F56</f>
        <v>7132</v>
      </c>
      <c r="G55" s="291">
        <f>D55-F55</f>
        <v>2708</v>
      </c>
      <c r="H55" s="11">
        <f>H59+H58+H57+H56</f>
        <v>7702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>
        <v>97</v>
      </c>
      <c r="F56" s="129">
        <v>1111</v>
      </c>
      <c r="G56" s="292"/>
      <c r="H56" s="129">
        <v>1330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>
        <v>154</v>
      </c>
      <c r="F57" s="129">
        <v>2303</v>
      </c>
      <c r="G57" s="292"/>
      <c r="H57" s="129">
        <v>3001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>
        <v>25</v>
      </c>
      <c r="F58" s="129">
        <v>2533</v>
      </c>
      <c r="G58" s="292"/>
      <c r="H58" s="129">
        <v>2122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>
        <v>7</v>
      </c>
      <c r="F59" s="194">
        <v>1185</v>
      </c>
      <c r="G59" s="293"/>
      <c r="H59" s="194">
        <v>1249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59</v>
      </c>
      <c r="F60" s="97">
        <v>767</v>
      </c>
      <c r="G60" s="97">
        <f>D60-F60</f>
        <v>433</v>
      </c>
      <c r="H60" s="97">
        <v>684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16</v>
      </c>
      <c r="F61" s="141">
        <v>4435</v>
      </c>
      <c r="G61" s="141">
        <f>D61-F61</f>
        <v>-1435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6" spans="1:10" ht="130.5" customHeight="1" x14ac:dyDescent="0.25"/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1043.7294000000002</v>
      </c>
      <c r="G92" s="11">
        <f t="shared" si="5"/>
        <v>42893.725269999995</v>
      </c>
      <c r="H92" s="11">
        <f t="shared" si="5"/>
        <v>-8094.7252699999972</v>
      </c>
      <c r="I92" s="11">
        <f t="shared" si="5"/>
        <v>37248.623520000001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1038.7398</f>
        <v>1038.7398000000001</v>
      </c>
      <c r="G93" s="23">
        <f>42330.74348</f>
        <v>42330.743479999997</v>
      </c>
      <c r="H93" s="23">
        <f>E93-G93</f>
        <v>-8343.7434799999974</v>
      </c>
      <c r="I93" s="23">
        <f>36508.92071</f>
        <v>36508.920709999999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4.9896</f>
        <v>4.9896000000000003</v>
      </c>
      <c r="G94" s="52">
        <f>562.98179</f>
        <v>562.98179000000005</v>
      </c>
      <c r="H94" s="52">
        <f>E94-G94</f>
        <v>249.01820999999995</v>
      </c>
      <c r="I94" s="52">
        <f>739.70281</f>
        <v>739.70281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1295.34213</v>
      </c>
      <c r="G95" s="11">
        <f t="shared" si="6"/>
        <v>35655.109920000003</v>
      </c>
      <c r="H95" s="11">
        <f t="shared" si="6"/>
        <v>23844.890080000008</v>
      </c>
      <c r="I95" s="11">
        <f t="shared" si="6"/>
        <v>38640.024559999998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551.5829</v>
      </c>
      <c r="G96" s="134">
        <f t="shared" si="7"/>
        <v>24223.326379999999</v>
      </c>
      <c r="H96" s="134">
        <f t="shared" si="7"/>
        <v>20267.673620000005</v>
      </c>
      <c r="I96" s="134">
        <f t="shared" si="7"/>
        <v>29584.608079999998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197.33735</f>
        <v>197.33734999999999</v>
      </c>
      <c r="G97" s="129">
        <f>4363.08059</f>
        <v>4363.0805899999996</v>
      </c>
      <c r="H97" s="129">
        <f t="shared" ref="H97:H104" si="8">E97-G97</f>
        <v>7520.6194100000012</v>
      </c>
      <c r="I97" s="129">
        <f>3784.4416</f>
        <v>3784.4416000000001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119.33877</f>
        <v>119.33877</v>
      </c>
      <c r="G98" s="129">
        <f>7558.53177</f>
        <v>7558.5317699999996</v>
      </c>
      <c r="H98" s="129">
        <f t="shared" si="8"/>
        <v>5106.5682300000008</v>
      </c>
      <c r="I98" s="129">
        <f>9823.40619</f>
        <v>9823.4061899999997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233.54934</f>
        <v>233.54934</v>
      </c>
      <c r="G99" s="129">
        <f>6947.05452</f>
        <v>6947.0545199999997</v>
      </c>
      <c r="H99" s="129">
        <f t="shared" si="8"/>
        <v>5018.5454800000007</v>
      </c>
      <c r="I99" s="129">
        <f>8317.44556</f>
        <v>8317.4455600000001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1.35744</f>
        <v>1.35744</v>
      </c>
      <c r="G100" s="129">
        <f>5354.6595</f>
        <v>5354.6594999999998</v>
      </c>
      <c r="H100" s="129">
        <f t="shared" si="8"/>
        <v>2621.9405000000006</v>
      </c>
      <c r="I100" s="129">
        <f>7659.31473</f>
        <v>7659.3147300000001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600.48751</f>
        <v>600.48751000000004</v>
      </c>
      <c r="G101" s="134">
        <f>9270.2413</f>
        <v>9270.2412999999997</v>
      </c>
      <c r="H101" s="134">
        <f t="shared" si="8"/>
        <v>1120.7587000000003</v>
      </c>
      <c r="I101" s="134">
        <f>7155.16449</f>
        <v>7155.1644900000001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143.27172</f>
        <v>143.27171999999999</v>
      </c>
      <c r="G102" s="77">
        <f>2161.54224</f>
        <v>2161.5422400000002</v>
      </c>
      <c r="H102" s="77">
        <f t="shared" si="8"/>
        <v>2456.4577599999998</v>
      </c>
      <c r="I102" s="77">
        <f>1900.25199</f>
        <v>1900.25199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0.07092</f>
        <v>7.0919999999999997E-2</v>
      </c>
      <c r="G103" s="100">
        <f>11.50681</f>
        <v>11.50681</v>
      </c>
      <c r="H103" s="100">
        <f t="shared" si="8"/>
        <v>308.49319000000003</v>
      </c>
      <c r="I103" s="100">
        <f>22.25999</f>
        <v>22.259989999999998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0.26307</f>
        <v>0.26307000000000003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0.00456</f>
        <v>4.5599999999999998E-3</v>
      </c>
      <c r="G105" s="100">
        <f>12.66776</f>
        <v>12.667759999999999</v>
      </c>
      <c r="H105" s="141">
        <f>E105-G105</f>
        <v>37.332239999999999</v>
      </c>
      <c r="I105" s="100">
        <f>5.4403</f>
        <v>5.4402999999999997</v>
      </c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2339.4100800000001</v>
      </c>
      <c r="G107" s="78">
        <f t="shared" si="9"/>
        <v>78881.777559999988</v>
      </c>
      <c r="H107" s="78">
        <f t="shared" si="9"/>
        <v>16087.222440000023</v>
      </c>
      <c r="I107" s="78">
        <f t="shared" si="9"/>
        <v>76260.083150000006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1589.1718000000001</v>
      </c>
      <c r="G128" s="11">
        <f t="shared" si="11"/>
        <v>63850.035370000005</v>
      </c>
      <c r="H128" s="11">
        <f t="shared" si="11"/>
        <v>6856.9646299999968</v>
      </c>
      <c r="I128" s="11">
        <f t="shared" si="11"/>
        <v>58307.918890000001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1070.8389</f>
        <v>1070.8389</v>
      </c>
      <c r="G129" s="23">
        <f>55640.56887</f>
        <v>55640.568870000003</v>
      </c>
      <c r="H129" s="23">
        <f>E129-G129</f>
        <v>584.43112999999721</v>
      </c>
      <c r="I129" s="23">
        <f>49332.98338</f>
        <v>49332.983379999998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514.8819</f>
        <v>514.88189999999997</v>
      </c>
      <c r="G130" s="23">
        <f>8066.48245</f>
        <v>8066.4824500000004</v>
      </c>
      <c r="H130" s="23">
        <f>E130-G130</f>
        <v>5915.5175499999996</v>
      </c>
      <c r="I130" s="23">
        <f>8723.82151</f>
        <v>8723.8215099999998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3.451</f>
        <v>3.4510000000000001</v>
      </c>
      <c r="G131" s="23">
        <f>142.98405</f>
        <v>142.98405</v>
      </c>
      <c r="H131" s="58">
        <f>E131-G131</f>
        <v>357.01594999999998</v>
      </c>
      <c r="I131" s="23">
        <f>251.114</f>
        <v>251.114</v>
      </c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28.774</f>
        <v>28.774000000000001</v>
      </c>
      <c r="G132" s="97">
        <f>38875.11718+7112.00313</f>
        <v>45987.120309999998</v>
      </c>
      <c r="H132" s="97">
        <f>E132-G132</f>
        <v>3297.8796900000016</v>
      </c>
      <c r="I132" s="97">
        <f>40748.83948</f>
        <v>40748.839480000002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1363.3959500000001</v>
      </c>
      <c r="G133" s="96">
        <f t="shared" ref="G133" si="12">G134+G139+G142</f>
        <v>65024.220840000009</v>
      </c>
      <c r="H133" s="96">
        <f>H134+H139+H142</f>
        <v>16087.779159999998</v>
      </c>
      <c r="I133" s="96">
        <f>I134+I139+I142</f>
        <v>68831.832869999998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1003.32967</v>
      </c>
      <c r="G134" s="127">
        <f>G135+G136+G138+G137</f>
        <v>49724.688490000008</v>
      </c>
      <c r="H134" s="127">
        <f>H135+H136+H137+H138</f>
        <v>9908.3115099999977</v>
      </c>
      <c r="I134" s="127">
        <f>I135+I136+I137+I138</f>
        <v>54145.541289999994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429.18815</f>
        <v>429.18815000000001</v>
      </c>
      <c r="G135" s="129">
        <v>10063.578240000001</v>
      </c>
      <c r="H135" s="129">
        <f>E135-G135</f>
        <v>7474.4217599999993</v>
      </c>
      <c r="I135" s="129">
        <f>9343.81609</f>
        <v>9343.8160900000003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359.05902</f>
        <v>359.05901999999998</v>
      </c>
      <c r="G136" s="129">
        <v>14973.195319999999</v>
      </c>
      <c r="H136" s="129">
        <f>E136-G136</f>
        <v>144.8046800000011</v>
      </c>
      <c r="I136" s="129">
        <f>12303.43285</f>
        <v>12303.432849999999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165.0608</f>
        <v>165.0608</v>
      </c>
      <c r="G137" s="129">
        <v>13617.385670000001</v>
      </c>
      <c r="H137" s="129">
        <f>E137-G137</f>
        <v>1438.6143299999985</v>
      </c>
      <c r="I137" s="129">
        <f>17354.85359</f>
        <v>17354.853589999999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50.0217</f>
        <v>50.021700000000003</v>
      </c>
      <c r="G138" s="129">
        <v>11070.529260000001</v>
      </c>
      <c r="H138" s="129">
        <f>E138-G138</f>
        <v>850.47073999999884</v>
      </c>
      <c r="I138" s="129">
        <f>15143.43876</f>
        <v>15143.438759999999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97.956599999999995</v>
      </c>
      <c r="G139" s="134">
        <f>SUM(G140:G141)</f>
        <v>7530.4267499999996</v>
      </c>
      <c r="H139" s="134">
        <f>H140+H141</f>
        <v>1920.5732500000001</v>
      </c>
      <c r="I139" s="134">
        <f>SUM(I140:I141)</f>
        <v>6839.0502100000003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91.119</f>
        <v>91.119</v>
      </c>
      <c r="G140" s="129">
        <f>7258.99489</f>
        <v>7258.9948899999999</v>
      </c>
      <c r="H140" s="129">
        <f t="shared" ref="H140:H147" si="13">E140-G140</f>
        <v>1692.0051100000001</v>
      </c>
      <c r="I140" s="129">
        <f>6540.58416</f>
        <v>6540.5841600000003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6.8376</f>
        <v>6.8376000000000001</v>
      </c>
      <c r="G141" s="129">
        <f>271.43186</f>
        <v>271.43185999999997</v>
      </c>
      <c r="H141" s="129">
        <f t="shared" si="13"/>
        <v>228.56814000000003</v>
      </c>
      <c r="I141" s="129">
        <f>298.46605</f>
        <v>298.46605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262.10968</f>
        <v>262.10968000000003</v>
      </c>
      <c r="G142" s="77">
        <f>7769.1056</f>
        <v>7769.1055999999999</v>
      </c>
      <c r="H142" s="77">
        <f t="shared" si="13"/>
        <v>4258.8944000000001</v>
      </c>
      <c r="I142" s="77">
        <f>7847.24137</f>
        <v>7847.2413699999997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1.73205</f>
        <v>1.7320500000000001</v>
      </c>
      <c r="G143" s="141">
        <f>33.68218</f>
        <v>33.682180000000002</v>
      </c>
      <c r="H143" s="141">
        <f t="shared" si="13"/>
        <v>103.31782</v>
      </c>
      <c r="I143" s="141">
        <f>28.10857</f>
        <v>28.10857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307.078</f>
        <v>307.07799999999997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7.62244</f>
        <v>7.6224400000000001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0.06108</f>
        <v>6.1080000000000002E-2</v>
      </c>
      <c r="G147" s="100">
        <f>28.48546</f>
        <v>28.48546</v>
      </c>
      <c r="H147" s="141">
        <f t="shared" si="13"/>
        <v>166.51454000000001</v>
      </c>
      <c r="I147" s="100">
        <f>7.07205</f>
        <v>7.0720499999999999</v>
      </c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77.873</f>
        <v>77.873000000000005</v>
      </c>
      <c r="G148" s="141">
        <f>300.13763</f>
        <v>300.13763</v>
      </c>
      <c r="H148" s="141"/>
      <c r="I148" s="141">
        <f>166.7728</f>
        <v>166.77279999999999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3068.6303200000002</v>
      </c>
      <c r="G150" s="78">
        <f>G128+G132+G133+G143+G144+G145+G146+G147+G148</f>
        <v>177486.26279000001</v>
      </c>
      <c r="H150" s="78">
        <f>H128+H132+H133+H143+H144+H145+H146+H147+H148</f>
        <v>26499.874839999997</v>
      </c>
      <c r="I150" s="78">
        <f>I128+I132+I133+I143+I144+I145+I146+I147+I148</f>
        <v>170397.62265999999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149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148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ht="88.5" customHeight="1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59.13247</f>
        <v>59.132469999999998</v>
      </c>
      <c r="F175" s="274">
        <f>1812.93883</f>
        <v>1812.9388300000001</v>
      </c>
      <c r="G175" s="45">
        <f>D175-F175-F176</f>
        <v>1179.7136599999999</v>
      </c>
      <c r="H175" s="274">
        <f>1644.39744</f>
        <v>1644.39744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80.2854</f>
        <v>80.285399999999996</v>
      </c>
      <c r="F176" s="154">
        <f>1995.34751</f>
        <v>1995.3475100000001</v>
      </c>
      <c r="G176" s="215"/>
      <c r="H176" s="154">
        <f>1736.58693</f>
        <v>1736.5869299999999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51.01208</f>
        <v>51.012079999999997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23.962049999999998</v>
      </c>
      <c r="F178" s="183">
        <f>F179+F180+F181</f>
        <v>8145.30872</v>
      </c>
      <c r="G178" s="183">
        <f>D178-F178</f>
        <v>-664.30871999999999</v>
      </c>
      <c r="H178" s="183">
        <f>H179+H180+H181</f>
        <v>7823.5875799999994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5.66839</f>
        <v>5.6683899999999996</v>
      </c>
      <c r="F179" s="129">
        <f>4184.79069</f>
        <v>4184.7906899999998</v>
      </c>
      <c r="G179" s="129"/>
      <c r="H179" s="129">
        <f>3986.38852</f>
        <v>3986.38852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8.98401</f>
        <v>8.9840099999999996</v>
      </c>
      <c r="F180" s="129">
        <f>2515.81882</f>
        <v>2515.81882</v>
      </c>
      <c r="G180" s="129"/>
      <c r="H180" s="129">
        <f>2458.98785</f>
        <v>2458.98785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9.30965</f>
        <v>9.3096499999999995</v>
      </c>
      <c r="F181" s="194">
        <f>1444.69921</f>
        <v>1444.69921</v>
      </c>
      <c r="G181" s="194"/>
      <c r="H181" s="194">
        <f>1378.21121</f>
        <v>1378.2112099999999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163.37992</v>
      </c>
      <c r="F184" s="196">
        <f>F175+F176+F177+F178+F182+F183</f>
        <v>12028.382519999999</v>
      </c>
      <c r="G184" s="196">
        <f>D184-F184</f>
        <v>706.6174800000008</v>
      </c>
      <c r="H184" s="196">
        <f>H175+H176+H177+H178+H182+H183</f>
        <v>11255.58403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131.75244</f>
        <v>131.75244000000001</v>
      </c>
      <c r="F204" s="124">
        <f>41921.82091</f>
        <v>41921.820910000002</v>
      </c>
      <c r="G204" s="124">
        <f>D204-F204</f>
        <v>1917.1790899999978</v>
      </c>
      <c r="H204" s="124">
        <f>37649.29446</f>
        <v>37649.294459999997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0.5225</f>
        <v>0.52249999999999996</v>
      </c>
      <c r="F205" s="124">
        <f>66.58343</f>
        <v>66.583430000000007</v>
      </c>
      <c r="G205" s="124">
        <f>D205-F205</f>
        <v>33.416569999999993</v>
      </c>
      <c r="H205" s="124">
        <f>60.1613</f>
        <v>60.161299999999997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132.27494000000002</v>
      </c>
      <c r="F207" s="190">
        <f>SUM(F204:F206)</f>
        <v>41988.404340000001</v>
      </c>
      <c r="G207" s="190">
        <f>D207-F207</f>
        <v>1992.595659999999</v>
      </c>
      <c r="H207" s="190">
        <f>SUM(H204:H206)</f>
        <v>37709.455759999997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15.5568</f>
        <v>15.556800000000001</v>
      </c>
      <c r="F249" s="77">
        <f>3575.03609</f>
        <v>3575.0360900000001</v>
      </c>
      <c r="G249" s="77"/>
      <c r="H249" s="77">
        <f>2853.13568</f>
        <v>2853.1356799999999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63.77936</f>
        <v>63.779359999999997</v>
      </c>
      <c r="F250" s="77">
        <f>5395.79046</f>
        <v>5395.7904600000002</v>
      </c>
      <c r="G250" s="77"/>
      <c r="H250" s="77">
        <f>4954.80673</f>
        <v>4954.8067300000002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6.57778</f>
        <v>6.5777799999999997</v>
      </c>
      <c r="F251" s="124">
        <f>659.42317</f>
        <v>659.42317000000003</v>
      </c>
      <c r="G251" s="168"/>
      <c r="H251" s="124">
        <f>643.96107</f>
        <v>643.96106999999995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85.913939999999997</v>
      </c>
      <c r="F252" s="190">
        <f>SUM(F249:F251)</f>
        <v>9630.2497199999998</v>
      </c>
      <c r="G252" s="190">
        <f>D252-F252</f>
        <v>823.7502800000002</v>
      </c>
      <c r="H252" s="190">
        <f>SUM(H249:H251)</f>
        <v>8451.903479999999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11.8408</f>
        <v>11.8408</v>
      </c>
      <c r="F294" s="77">
        <f>5519.13968</f>
        <v>5519.1396800000002</v>
      </c>
      <c r="G294" s="77"/>
      <c r="H294" s="77">
        <f>4158.27751</f>
        <v>4158.2775099999999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131.3219</f>
        <v>131.3219</v>
      </c>
      <c r="F295" s="77">
        <f>3722.39596</f>
        <v>3722.3959599999998</v>
      </c>
      <c r="G295" s="77"/>
      <c r="H295" s="77">
        <f>3498.48924</f>
        <v>3498.4892399999999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1.6174</f>
        <v>1.6173999999999999</v>
      </c>
      <c r="F296" s="124">
        <f>511.56658</f>
        <v>511.56657999999999</v>
      </c>
      <c r="G296" s="168"/>
      <c r="H296" s="124">
        <f>582.64571</f>
        <v>582.64571000000001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144.7801</v>
      </c>
      <c r="F297" s="190">
        <f>SUM(F294:F296)</f>
        <v>9753.1022200000007</v>
      </c>
      <c r="G297" s="190">
        <f>D297-F297</f>
        <v>-1677.1022200000007</v>
      </c>
      <c r="H297" s="190">
        <f>SUM(H294:H296)</f>
        <v>8239.4124599999996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48.75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8.45252</f>
        <v>8.4525199999999998</v>
      </c>
      <c r="F348" s="124">
        <f>566.28279</f>
        <v>566.28278999999998</v>
      </c>
      <c r="G348" s="124">
        <f>D348-F348</f>
        <v>233.71721000000002</v>
      </c>
      <c r="H348" s="124">
        <f>374.12733</f>
        <v>374.12732999999997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3.61086</f>
        <v>3.6108600000000002</v>
      </c>
      <c r="F349" s="124">
        <f>2747.8579</f>
        <v>2747.8579</v>
      </c>
      <c r="G349" s="124">
        <f>D349-F349</f>
        <v>-253.85789999999997</v>
      </c>
      <c r="H349" s="124">
        <f>1743.87381</f>
        <v>1743.87381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3.1032</f>
        <v>3.1032000000000002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1.78973</f>
        <v>1.78973</v>
      </c>
      <c r="G351" s="124"/>
      <c r="H351" s="168">
        <f>6.96964</f>
        <v>6.9696400000000001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12.06338</v>
      </c>
      <c r="F352" s="190">
        <f>SUM(F348:F351)</f>
        <v>3318.6691599999999</v>
      </c>
      <c r="G352" s="190">
        <f>D352-F352</f>
        <v>-19.66915999999992</v>
      </c>
      <c r="H352" s="190">
        <f>H348+H349+H350+H351</f>
        <v>2128.0739799999997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292.02280000000002</v>
      </c>
      <c r="G378" s="251">
        <f t="shared" si="15"/>
        <v>16698.389090000001</v>
      </c>
      <c r="H378" s="251">
        <f>H382+H381+H380+H379</f>
        <v>-596.38908999999921</v>
      </c>
      <c r="I378" s="251">
        <f t="shared" si="15"/>
        <v>9877.3664099999987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9979.67119</f>
        <v>9979.6711899999991</v>
      </c>
      <c r="H379" s="255">
        <f t="shared" ref="H379:H383" si="16">E379-G379</f>
        <v>-1802.6711899999991</v>
      </c>
      <c r="I379" s="255">
        <f>6442.34329</f>
        <v>6442.3432899999998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213.84</f>
        <v>213.84</v>
      </c>
      <c r="G380" s="255">
        <f>1623.83535</f>
        <v>1623.8353500000001</v>
      </c>
      <c r="H380" s="255">
        <f t="shared" si="16"/>
        <v>504.16464999999994</v>
      </c>
      <c r="I380" s="255">
        <f>776.37825</f>
        <v>776.37824999999998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45.3924</f>
        <v>45.392400000000002</v>
      </c>
      <c r="G381" s="255">
        <f>1959.62105</f>
        <v>1959.62105</v>
      </c>
      <c r="H381" s="255">
        <f t="shared" si="16"/>
        <v>-602.62104999999997</v>
      </c>
      <c r="I381" s="255">
        <f>1643.18887</f>
        <v>1643.18887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32.7904</f>
        <v>32.790399999999998</v>
      </c>
      <c r="G382" s="255">
        <f>3135.2615</f>
        <v>3135.2615000000001</v>
      </c>
      <c r="H382" s="255">
        <f t="shared" si="16"/>
        <v>1304.7384999999999</v>
      </c>
      <c r="I382" s="255">
        <f>1015.456</f>
        <v>1015.456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0.165</f>
        <v>0.16500000000000001</v>
      </c>
      <c r="G383" s="266">
        <f>5112.13128</f>
        <v>5112.1312799999996</v>
      </c>
      <c r="H383" s="266">
        <f t="shared" si="16"/>
        <v>387.86872000000039</v>
      </c>
      <c r="I383" s="266">
        <f>4572.37976</f>
        <v>4572.3797599999998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142.14275000000001</v>
      </c>
      <c r="G384" s="267">
        <f>G386+G385</f>
        <v>4456.5691800000004</v>
      </c>
      <c r="H384" s="267">
        <f>E384-G384</f>
        <v>3543.4308199999996</v>
      </c>
      <c r="I384" s="267">
        <f>I386+I385</f>
        <v>4686.9755700000005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864.02294</f>
        <v>864.02293999999995</v>
      </c>
      <c r="H385" s="255"/>
      <c r="I385" s="255">
        <f>1158.2507</f>
        <v>1158.2507000000001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142.14275</f>
        <v>142.14275000000001</v>
      </c>
      <c r="G386" s="276">
        <f>3592.54624</f>
        <v>3592.5462400000001</v>
      </c>
      <c r="H386" s="276"/>
      <c r="I386" s="276">
        <f>3528.72487</f>
        <v>3528.72487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0.7485</f>
        <v>0.74850000000000005</v>
      </c>
      <c r="H387" s="266">
        <f>E387-G387</f>
        <v>9.2515000000000001</v>
      </c>
      <c r="I387" s="266">
        <f>0.4968</f>
        <v>0.49680000000000002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0.39652</f>
        <v>0.39651999999999998</v>
      </c>
      <c r="G388" s="266">
        <f>118.04657</f>
        <v>118.04657</v>
      </c>
      <c r="H388" s="266">
        <f>E388-G388</f>
        <v>-118.04657</v>
      </c>
      <c r="I388" s="266">
        <f>240.10036</f>
        <v>240.10035999999999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434.72707000000003</v>
      </c>
      <c r="G389" s="285">
        <f t="shared" si="17"/>
        <v>26385.884619999997</v>
      </c>
      <c r="H389" s="285">
        <f>H378+H383+H384+H387+H388</f>
        <v>3226.1153800000006</v>
      </c>
      <c r="I389" s="285">
        <f t="shared" si="17"/>
        <v>19377.318900000002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296.2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1462.6298499999998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339.35108</f>
        <v>339.35108000000002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32.099299999999999</v>
      </c>
      <c r="F417" s="36">
        <f>SUM(F418:F419)</f>
        <v>416.58323999999999</v>
      </c>
      <c r="G417" s="87"/>
      <c r="H417" s="36">
        <f>SUM(H418:H419)</f>
        <v>862.77052000000003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25.1715</f>
        <v>25.171500000000002</v>
      </c>
      <c r="F418" s="30">
        <f>310.37863</f>
        <v>310.37862999999999</v>
      </c>
      <c r="G418" s="99"/>
      <c r="H418" s="30">
        <f>682.09428</f>
        <v>682.09428000000003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6.9278</f>
        <v>6.9278000000000004</v>
      </c>
      <c r="F419" s="30">
        <f>106.20461</f>
        <v>106.20461</v>
      </c>
      <c r="G419" s="110"/>
      <c r="H419" s="30">
        <f>180.67624</f>
        <v>180.67624000000001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32.099299999999999</v>
      </c>
      <c r="F421" s="42">
        <f>F411+F414+F417+F420</f>
        <v>4075.9602199999995</v>
      </c>
      <c r="G421" s="43"/>
      <c r="H421" s="42">
        <f>H411+H414+H417+H420</f>
        <v>4061.4657200000001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44&amp;R06.11.2023</oddHeader>
    <oddFooter>&amp;LFiskeridirektoratet&amp;CSeksjon fiskeriregulering&amp;R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2023-11-06T11:13:00Z</dcterms:modified>
</cp:coreProperties>
</file>