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4\"/>
    </mc:Choice>
  </mc:AlternateContent>
  <xr:revisionPtr revIDLastSave="0" documentId="13_ncr:1_{A97FF928-879D-4772-815D-6A889458F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H422" i="1"/>
  <c r="F422" i="1"/>
  <c r="G422" i="1" s="1"/>
  <c r="E422" i="1"/>
  <c r="H421" i="1"/>
  <c r="F421" i="1"/>
  <c r="F419" i="1" s="1"/>
  <c r="G419" i="1" s="1"/>
  <c r="E421" i="1"/>
  <c r="H420" i="1"/>
  <c r="H419" i="1" s="1"/>
  <c r="F420" i="1"/>
  <c r="E420" i="1"/>
  <c r="E419" i="1"/>
  <c r="H418" i="1"/>
  <c r="F418" i="1"/>
  <c r="E418" i="1"/>
  <c r="H417" i="1"/>
  <c r="H416" i="1" s="1"/>
  <c r="F417" i="1"/>
  <c r="E417" i="1"/>
  <c r="E416" i="1" s="1"/>
  <c r="H415" i="1"/>
  <c r="F415" i="1"/>
  <c r="E415" i="1"/>
  <c r="H414" i="1"/>
  <c r="F414" i="1"/>
  <c r="F413" i="1" s="1"/>
  <c r="E414" i="1"/>
  <c r="I390" i="1"/>
  <c r="G390" i="1"/>
  <c r="H390" i="1" s="1"/>
  <c r="F390" i="1"/>
  <c r="I389" i="1"/>
  <c r="G389" i="1"/>
  <c r="H389" i="1" s="1"/>
  <c r="F389" i="1"/>
  <c r="I388" i="1"/>
  <c r="G388" i="1"/>
  <c r="F388" i="1"/>
  <c r="F386" i="1" s="1"/>
  <c r="I387" i="1"/>
  <c r="G387" i="1"/>
  <c r="F387" i="1"/>
  <c r="I386" i="1"/>
  <c r="I385" i="1"/>
  <c r="G385" i="1"/>
  <c r="H385" i="1" s="1"/>
  <c r="F385" i="1"/>
  <c r="I384" i="1"/>
  <c r="G384" i="1"/>
  <c r="H384" i="1" s="1"/>
  <c r="F384" i="1"/>
  <c r="I383" i="1"/>
  <c r="I380" i="1" s="1"/>
  <c r="G383" i="1"/>
  <c r="F383" i="1"/>
  <c r="I382" i="1"/>
  <c r="H382" i="1"/>
  <c r="G382" i="1"/>
  <c r="F382" i="1"/>
  <c r="I381" i="1"/>
  <c r="G381" i="1"/>
  <c r="H381" i="1" s="1"/>
  <c r="F381" i="1"/>
  <c r="D380" i="1"/>
  <c r="D391" i="1" s="1"/>
  <c r="H372" i="1"/>
  <c r="F372" i="1"/>
  <c r="D354" i="1"/>
  <c r="H353" i="1"/>
  <c r="F353" i="1"/>
  <c r="G353" i="1" s="1"/>
  <c r="E353" i="1"/>
  <c r="H352" i="1"/>
  <c r="F352" i="1"/>
  <c r="G352" i="1" s="1"/>
  <c r="E352" i="1"/>
  <c r="H351" i="1"/>
  <c r="F351" i="1"/>
  <c r="F354" i="1" s="1"/>
  <c r="G354" i="1" s="1"/>
  <c r="E351" i="1"/>
  <c r="H350" i="1"/>
  <c r="G350" i="1"/>
  <c r="F350" i="1"/>
  <c r="E350" i="1"/>
  <c r="D343" i="1"/>
  <c r="D299" i="1"/>
  <c r="H298" i="1"/>
  <c r="F298" i="1"/>
  <c r="G298" i="1" s="1"/>
  <c r="E298" i="1"/>
  <c r="H297" i="1"/>
  <c r="F297" i="1"/>
  <c r="E297" i="1"/>
  <c r="H296" i="1"/>
  <c r="F296" i="1"/>
  <c r="E296" i="1"/>
  <c r="D253" i="1"/>
  <c r="H252" i="1"/>
  <c r="G252" i="1"/>
  <c r="F252" i="1"/>
  <c r="E252" i="1"/>
  <c r="H251" i="1"/>
  <c r="F251" i="1"/>
  <c r="E251" i="1"/>
  <c r="H250" i="1"/>
  <c r="F250" i="1"/>
  <c r="F249" i="1" s="1"/>
  <c r="E250" i="1"/>
  <c r="E249" i="1" s="1"/>
  <c r="E253" i="1" s="1"/>
  <c r="D207" i="1"/>
  <c r="H206" i="1"/>
  <c r="F206" i="1"/>
  <c r="G206" i="1" s="1"/>
  <c r="E206" i="1"/>
  <c r="H205" i="1"/>
  <c r="H207" i="1" s="1"/>
  <c r="F205" i="1"/>
  <c r="G205" i="1" s="1"/>
  <c r="E205" i="1"/>
  <c r="H204" i="1"/>
  <c r="G204" i="1"/>
  <c r="F204" i="1"/>
  <c r="E204" i="1"/>
  <c r="E207" i="1" s="1"/>
  <c r="D184" i="1"/>
  <c r="H183" i="1"/>
  <c r="G183" i="1"/>
  <c r="F183" i="1"/>
  <c r="E183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H184" i="1" s="1"/>
  <c r="F179" i="1"/>
  <c r="E179" i="1"/>
  <c r="H177" i="1"/>
  <c r="F177" i="1"/>
  <c r="G177" i="1" s="1"/>
  <c r="E177" i="1"/>
  <c r="H176" i="1"/>
  <c r="F176" i="1"/>
  <c r="E176" i="1"/>
  <c r="H175" i="1"/>
  <c r="F175" i="1"/>
  <c r="E175" i="1"/>
  <c r="D167" i="1"/>
  <c r="D169" i="1" s="1"/>
  <c r="I148" i="1"/>
  <c r="G148" i="1"/>
  <c r="H148" i="1" s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G140" i="1"/>
  <c r="G139" i="1" s="1"/>
  <c r="G133" i="1" s="1"/>
  <c r="F140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G134" i="1"/>
  <c r="E134" i="1"/>
  <c r="E133" i="1" s="1"/>
  <c r="D134" i="1"/>
  <c r="I132" i="1"/>
  <c r="F132" i="1"/>
  <c r="I131" i="1"/>
  <c r="H131" i="1"/>
  <c r="G131" i="1"/>
  <c r="F131" i="1"/>
  <c r="F128" i="1" s="1"/>
  <c r="I130" i="1"/>
  <c r="G130" i="1"/>
  <c r="H130" i="1" s="1"/>
  <c r="F130" i="1"/>
  <c r="I129" i="1"/>
  <c r="G129" i="1"/>
  <c r="H129" i="1" s="1"/>
  <c r="F129" i="1"/>
  <c r="E128" i="1"/>
  <c r="D128" i="1"/>
  <c r="C126" i="1"/>
  <c r="I106" i="1"/>
  <c r="G106" i="1"/>
  <c r="H106" i="1" s="1"/>
  <c r="F106" i="1"/>
  <c r="I105" i="1"/>
  <c r="G105" i="1"/>
  <c r="H105" i="1" s="1"/>
  <c r="F105" i="1"/>
  <c r="H104" i="1"/>
  <c r="F104" i="1"/>
  <c r="I103" i="1"/>
  <c r="H103" i="1"/>
  <c r="G103" i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H97" i="1"/>
  <c r="G97" i="1"/>
  <c r="F97" i="1"/>
  <c r="G96" i="1"/>
  <c r="G95" i="1" s="1"/>
  <c r="E96" i="1"/>
  <c r="E95" i="1" s="1"/>
  <c r="D96" i="1"/>
  <c r="D95" i="1" s="1"/>
  <c r="D107" i="1" s="1"/>
  <c r="I94" i="1"/>
  <c r="G94" i="1"/>
  <c r="H94" i="1" s="1"/>
  <c r="F94" i="1"/>
  <c r="I93" i="1"/>
  <c r="G93" i="1"/>
  <c r="H93" i="1" s="1"/>
  <c r="F93" i="1"/>
  <c r="F92" i="1" s="1"/>
  <c r="E92" i="1"/>
  <c r="D92" i="1"/>
  <c r="C89" i="1"/>
  <c r="H85" i="1"/>
  <c r="F85" i="1"/>
  <c r="D85" i="1"/>
  <c r="G61" i="1"/>
  <c r="G60" i="1"/>
  <c r="H55" i="1"/>
  <c r="I32" i="1" s="1"/>
  <c r="I27" i="1" s="1"/>
  <c r="I26" i="1" s="1"/>
  <c r="F55" i="1"/>
  <c r="G55" i="1" s="1"/>
  <c r="E55" i="1"/>
  <c r="F32" i="1" s="1"/>
  <c r="I43" i="1"/>
  <c r="G43" i="1"/>
  <c r="H43" i="1" s="1"/>
  <c r="F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F34" i="1" s="1"/>
  <c r="I35" i="1"/>
  <c r="G35" i="1"/>
  <c r="F35" i="1"/>
  <c r="E35" i="1"/>
  <c r="I34" i="1"/>
  <c r="D34" i="1"/>
  <c r="I33" i="1"/>
  <c r="G33" i="1"/>
  <c r="H33" i="1" s="1"/>
  <c r="F33" i="1"/>
  <c r="I31" i="1"/>
  <c r="G31" i="1"/>
  <c r="H31" i="1" s="1"/>
  <c r="F31" i="1"/>
  <c r="I30" i="1"/>
  <c r="H30" i="1"/>
  <c r="G30" i="1"/>
  <c r="F30" i="1"/>
  <c r="I29" i="1"/>
  <c r="G29" i="1"/>
  <c r="H29" i="1" s="1"/>
  <c r="F29" i="1"/>
  <c r="I28" i="1"/>
  <c r="G28" i="1"/>
  <c r="F28" i="1"/>
  <c r="E27" i="1"/>
  <c r="E26" i="1" s="1"/>
  <c r="D27" i="1"/>
  <c r="D26" i="1"/>
  <c r="I25" i="1"/>
  <c r="G25" i="1"/>
  <c r="H25" i="1" s="1"/>
  <c r="H23" i="1" s="1"/>
  <c r="F25" i="1"/>
  <c r="F23" i="1" s="1"/>
  <c r="I24" i="1"/>
  <c r="H24" i="1"/>
  <c r="G24" i="1"/>
  <c r="F24" i="1"/>
  <c r="I23" i="1"/>
  <c r="E23" i="1"/>
  <c r="D23" i="1"/>
  <c r="H16" i="1"/>
  <c r="F16" i="1"/>
  <c r="D16" i="1"/>
  <c r="I92" i="1" l="1"/>
  <c r="F96" i="1"/>
  <c r="F95" i="1" s="1"/>
  <c r="H140" i="1"/>
  <c r="H139" i="1" s="1"/>
  <c r="E178" i="1"/>
  <c r="F207" i="1"/>
  <c r="G207" i="1" s="1"/>
  <c r="F295" i="1"/>
  <c r="H354" i="1"/>
  <c r="H92" i="1"/>
  <c r="H107" i="1" s="1"/>
  <c r="G32" i="1"/>
  <c r="H32" i="1" s="1"/>
  <c r="I128" i="1"/>
  <c r="I139" i="1"/>
  <c r="H295" i="1"/>
  <c r="H299" i="1" s="1"/>
  <c r="D44" i="1"/>
  <c r="F27" i="1"/>
  <c r="E295" i="1"/>
  <c r="E299" i="1" s="1"/>
  <c r="E354" i="1"/>
  <c r="G386" i="1"/>
  <c r="H386" i="1" s="1"/>
  <c r="I96" i="1"/>
  <c r="I95" i="1" s="1"/>
  <c r="D150" i="1"/>
  <c r="D133" i="1"/>
  <c r="E184" i="1"/>
  <c r="F380" i="1"/>
  <c r="E150" i="1"/>
  <c r="I134" i="1"/>
  <c r="I133" i="1" s="1"/>
  <c r="I150" i="1" s="1"/>
  <c r="G175" i="1"/>
  <c r="G380" i="1"/>
  <c r="G391" i="1" s="1"/>
  <c r="E413" i="1"/>
  <c r="E423" i="1" s="1"/>
  <c r="F416" i="1"/>
  <c r="G416" i="1" s="1"/>
  <c r="I391" i="1"/>
  <c r="E44" i="1"/>
  <c r="H28" i="1"/>
  <c r="G92" i="1"/>
  <c r="G107" i="1" s="1"/>
  <c r="F107" i="1"/>
  <c r="F139" i="1"/>
  <c r="F133" i="1" s="1"/>
  <c r="F150" i="1" s="1"/>
  <c r="F178" i="1"/>
  <c r="G178" i="1" s="1"/>
  <c r="H249" i="1"/>
  <c r="H253" i="1" s="1"/>
  <c r="H413" i="1"/>
  <c r="H423" i="1" s="1"/>
  <c r="G34" i="1"/>
  <c r="H34" i="1" s="1"/>
  <c r="G295" i="1"/>
  <c r="F299" i="1"/>
  <c r="G299" i="1" s="1"/>
  <c r="H27" i="1"/>
  <c r="H96" i="1"/>
  <c r="H95" i="1" s="1"/>
  <c r="F253" i="1"/>
  <c r="G253" i="1" s="1"/>
  <c r="G249" i="1"/>
  <c r="E107" i="1"/>
  <c r="F391" i="1"/>
  <c r="G351" i="1"/>
  <c r="H383" i="1"/>
  <c r="H380" i="1" s="1"/>
  <c r="H391" i="1" s="1"/>
  <c r="F423" i="1"/>
  <c r="G128" i="1"/>
  <c r="G150" i="1" s="1"/>
  <c r="G413" i="1"/>
  <c r="G23" i="1"/>
  <c r="H134" i="1"/>
  <c r="I44" i="1"/>
  <c r="F26" i="1"/>
  <c r="F44" i="1" s="1"/>
  <c r="H128" i="1"/>
  <c r="H35" i="1"/>
  <c r="H26" i="1" l="1"/>
  <c r="H44" i="1" s="1"/>
  <c r="F184" i="1"/>
  <c r="G184" i="1" s="1"/>
  <c r="I107" i="1"/>
  <c r="G27" i="1"/>
  <c r="G26" i="1" s="1"/>
  <c r="G44" i="1" s="1"/>
  <c r="H133" i="1"/>
  <c r="H150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<sst xmlns="http://schemas.openxmlformats.org/spreadsheetml/2006/main" count="359" uniqueCount="152">
  <si>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</si>
  <si>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</si>
  <si>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</si>
  <si>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</si>
  <si>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</si>
  <si>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</si>
  <si>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</si>
  <si>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</si>
  <si>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</si>
  <si>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</si>
  <si>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</si>
  <si>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</si>
  <si>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</si>
  <si>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</si>
  <si>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</si>
  <si>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</si>
  <si>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</si>
  <si>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</si>
  <si>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</si>
  <si>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</si>
  <si>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</si>
  <si>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</si>
  <si>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</si>
  <si>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</si>
  <si>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</si>
  <si>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</si>
  <si>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</si>
  <si>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</si>
  <si>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</si>
  <si>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</si>
  <si>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</si>
  <si>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</si>
  <si>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</si>
  <si>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</si>
  <si>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</si>
  <si>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</si>
  <si>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</si>
  <si>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</si>
  <si>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</si>
  <si>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</si>
  <si>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</si>
  <si>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</si>
  <si>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</si>
  <si>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</si>
  <si>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</si>
  <si>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</si>
  <si>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</si>
  <si>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</si>
  <si>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</si>
  <si>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</si>
  <si>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</si>
  <si>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</si>
  <si>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</si>
  <si>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</si>
  <si>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</si>
  <si>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</si>
  <si>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</si>
  <si>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</si>
  <si>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</si>
  <si>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</si>
  <si>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</si>
  <si>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</si>
  <si>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</si>
  <si>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</si>
  <si>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</si>
  <si>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</si>
  <si>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</si>
  <si>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</si>
  <si>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</si>
  <si>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</si>
  <si>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</si>
  <si>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</si>
  <si>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</si>
  <si>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</si>
  <si>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</si>
  <si>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</si>
  <si>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</si>
  <si>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</si>
  <si>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</si>
  <si>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</si>
  <si>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</si>
  <si>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</si>
  <si>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</si>
  <si>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</si>
  <si>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</si>
  <si>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</si>
  <si>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</si>
  <si>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</si>
  <si>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</si>
  <si>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</si>
  <si>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</si>
  <si>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</si>
  <si>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</si>
  <si>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</si>
  <si>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</si>
  <si>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</si>
  <si>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</si>
  <si>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</si>
  <si>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</si>
  <si>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</si>
  <si>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</si>
  <si>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</si>
  <si>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</si>
  <si>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</si>
  <si>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</si>
  <si>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</si>
  <si>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</si>
  <si>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</si>
  <si>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</si>
  <si>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</si>
  <si>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</si>
  <si>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</si>
  <si>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</si>
  <si>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</si>
  <si>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</si>
  <si>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</si>
  <si>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</si>
  <si>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</si>
  <si>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</si>
  <si>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</si>
  <si>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</si>
  <si>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</si>
  <si>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</si>
  <si>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</si>
  <si>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</si>
  <si>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</si>
  <si>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</si>
  <si>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</si>
  <si>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</si>
  <si>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</si>
  <si>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</si>
  <si>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2 000 tonn er overført fra ubenyttet tredjelandskvoter fra Norges økonomiske til norsk totalkvote og fordelt til åpen gruppe og fartøy i lukket gruppe med hjemmelslengde under 11 meter </t>
    </r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</si>
  <si>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</si>
  <si>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</si>
  <si>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</si>
  <si>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</si>
  <si>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</si>
  <si>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</si>
  <si>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</si>
  <si>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</si>
  <si>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</si>
  <si>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</si>
  <si>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</si>
  <si>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</si>
  <si>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t>FANGST UKE 8</t>
  </si>
  <si>
    <t>FANGST T.O.M UKE 8</t>
  </si>
  <si>
    <t>RESTKVOTER UKE 8</t>
  </si>
  <si>
    <t>FANGST T.O.M UKE 8 2023</t>
  </si>
  <si>
    <r>
      <t xml:space="preserve">3 </t>
    </r>
    <r>
      <rPr>
        <sz val="9"/>
        <color indexed="8"/>
        <rFont val="Calibri"/>
        <family val="2"/>
      </rPr>
      <t>Registrert rekreasjonsfiske utgjør 74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</si>
  <si>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</si>
  <si>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230 tonn sei med konvensjonelle redskap som belastes notkvoten.</t>
    </r>
  </si>
  <si>
    <r>
      <t xml:space="preserve">2 </t>
    </r>
    <r>
      <rPr>
        <sz val="9"/>
        <color indexed="8"/>
        <rFont val="Calibri"/>
        <family val="2"/>
      </rPr>
      <t>Registrert rekreasjonsfiske utgjør 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</si>
</sst>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>
      <selection activeCell="F12" sqref="F12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1" t="s">
        <v>124</v>
      </c>
      <c r="C2" s="302"/>
      <c r="D2" s="302"/>
      <c r="E2" s="302"/>
      <c r="F2" s="302"/>
      <c r="G2" s="302"/>
      <c r="H2" s="302"/>
      <c r="I2" s="302"/>
      <c r="J2" s="303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4"/>
      <c r="C9" s="305"/>
      <c r="D9" s="305"/>
      <c r="E9" s="305"/>
      <c r="F9" s="305"/>
      <c r="G9" s="305"/>
      <c r="H9" s="305"/>
      <c r="I9" s="305"/>
      <c r="J9" s="306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62169</v>
      </c>
      <c r="G12" s="115" t="s">
        <v>5</v>
      </c>
      <c r="H12" s="114">
        <v>21768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134109</v>
      </c>
      <c r="G13" s="115" t="s">
        <v>8</v>
      </c>
      <c r="H13" s="117">
        <v>121832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15290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11040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214124</v>
      </c>
      <c r="G16" s="177" t="s">
        <v>7</v>
      </c>
      <c r="H16" s="189">
        <f>SUM(H12:H15)</f>
        <v>169930</v>
      </c>
      <c r="J16" s="243"/>
    </row>
    <row r="17" spans="1:10" ht="15" customHeight="1" x14ac:dyDescent="0.25">
      <c r="A17" s="101"/>
      <c r="B17" s="24"/>
      <c r="C17" s="101" t="s">
        <v>131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144</v>
      </c>
      <c r="G22" s="68" t="s">
        <v>145</v>
      </c>
      <c r="H22" s="68" t="s">
        <v>146</v>
      </c>
      <c r="I22" s="68" t="s">
        <v>147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62169</v>
      </c>
      <c r="E23" s="28">
        <f>E24+E25</f>
        <v>60542</v>
      </c>
      <c r="F23" s="28">
        <f t="shared" ref="F23:I23" si="0">F25+F24</f>
        <v>1528.0575000000001</v>
      </c>
      <c r="G23" s="28">
        <f t="shared" si="0"/>
        <v>15457.58569</v>
      </c>
      <c r="H23" s="11">
        <f t="shared" si="0"/>
        <v>45084.41431</v>
      </c>
      <c r="I23" s="11">
        <f t="shared" si="0"/>
        <v>17890.685720000001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61419</v>
      </c>
      <c r="E24" s="45">
        <v>59772</v>
      </c>
      <c r="F24" s="23">
        <f>1527.564</f>
        <v>1527.5640000000001</v>
      </c>
      <c r="G24" s="23">
        <f>15265.85719</f>
        <v>15265.857190000001</v>
      </c>
      <c r="H24" s="23">
        <f>E24-G24</f>
        <v>44506.142809999998</v>
      </c>
      <c r="I24" s="23">
        <f>17839.69022</f>
        <v>17839.69022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0.4935</f>
        <v>0.49349999999999999</v>
      </c>
      <c r="G25" s="23">
        <f>191.7285</f>
        <v>191.7285</v>
      </c>
      <c r="H25" s="23">
        <f>E25-G25</f>
        <v>578.27150000000006</v>
      </c>
      <c r="I25" s="23">
        <f>50.9955</f>
        <v>50.9955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138600</v>
      </c>
      <c r="E26" s="28">
        <f>E27+E33+E34</f>
        <v>144301</v>
      </c>
      <c r="F26" s="28">
        <f t="shared" ref="F26:I26" si="1">F34+F33+F27</f>
        <v>10976.006020000001</v>
      </c>
      <c r="G26" s="11">
        <f t="shared" si="1"/>
        <v>39754.548180000005</v>
      </c>
      <c r="H26" s="11">
        <f t="shared" si="1"/>
        <v>104546.45181999999</v>
      </c>
      <c r="I26" s="11">
        <f t="shared" si="1"/>
        <v>38159.278450000005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107695</v>
      </c>
      <c r="E27" s="58">
        <f>E28+E29+E30+E31+E32</f>
        <v>112531</v>
      </c>
      <c r="F27" s="132">
        <f>F28+F29+F30+F31+F32</f>
        <v>10303.54817</v>
      </c>
      <c r="G27" s="132">
        <f t="shared" ref="G27:I27" si="2">G28+G29+G30+G31+G32</f>
        <v>34703.228990000003</v>
      </c>
      <c r="H27" s="132">
        <f t="shared" si="2"/>
        <v>77827.771009999997</v>
      </c>
      <c r="I27" s="132">
        <f t="shared" si="2"/>
        <v>29668.503440000004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26675</v>
      </c>
      <c r="E28" s="63">
        <v>28514</v>
      </c>
      <c r="F28" s="203">
        <f>1774.0106</f>
        <v>1774.0106000000001</v>
      </c>
      <c r="G28" s="127">
        <f>6503.99544 - F56</f>
        <v>6503.9954399999997</v>
      </c>
      <c r="H28" s="127">
        <f t="shared" ref="H28:H40" si="3">E28-G28</f>
        <v>22010.004560000001</v>
      </c>
      <c r="I28" s="127">
        <f>6283.75589 - H56</f>
        <v>6283.7558900000004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28632</v>
      </c>
      <c r="E29" s="63">
        <v>29544</v>
      </c>
      <c r="F29" s="127">
        <f>2600.59797</f>
        <v>2600.5979699999998</v>
      </c>
      <c r="G29" s="127">
        <f>10412.24559 - F57</f>
        <v>10412.24559</v>
      </c>
      <c r="H29" s="127">
        <f t="shared" si="3"/>
        <v>19131.754410000001</v>
      </c>
      <c r="I29" s="127">
        <f>9379.2682 - H57</f>
        <v>9379.2682000000004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25668</v>
      </c>
      <c r="E30" s="63">
        <v>27123</v>
      </c>
      <c r="F30" s="127">
        <f>3171.68738</f>
        <v>3171.6873799999998</v>
      </c>
      <c r="G30" s="127">
        <f>9653.73528 - F58</f>
        <v>9653.7352800000008</v>
      </c>
      <c r="H30" s="127">
        <f t="shared" si="3"/>
        <v>17469.264719999999</v>
      </c>
      <c r="I30" s="127">
        <f>7187.48069 - H58</f>
        <v>7187.4806900000003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18848</v>
      </c>
      <c r="E31" s="63">
        <v>19250</v>
      </c>
      <c r="F31" s="127">
        <f>2757.25222</f>
        <v>2757.2522199999999</v>
      </c>
      <c r="G31" s="127">
        <f>8133.25268 - F59</f>
        <v>8133.2526799999996</v>
      </c>
      <c r="H31" s="127">
        <f t="shared" si="3"/>
        <v>11116.74732</v>
      </c>
      <c r="I31" s="127">
        <f>6817.99866 - H59</f>
        <v>6817.9986600000002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16923</v>
      </c>
      <c r="E33" s="58">
        <v>16785</v>
      </c>
      <c r="F33" s="132">
        <f>81.5045</f>
        <v>81.504499999999993</v>
      </c>
      <c r="G33" s="132">
        <f>3086.57537</f>
        <v>3086.57537</v>
      </c>
      <c r="H33" s="132">
        <f t="shared" si="3"/>
        <v>13698.42463</v>
      </c>
      <c r="I33" s="132">
        <f>5822.31835</f>
        <v>5822.3183499999996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13982</v>
      </c>
      <c r="E34" s="58">
        <v>14985</v>
      </c>
      <c r="F34" s="132">
        <f>F35+F36</f>
        <v>590.95335</v>
      </c>
      <c r="G34" s="132">
        <f>G35+G36</f>
        <v>1964.7438199999999</v>
      </c>
      <c r="H34" s="132">
        <f t="shared" si="3"/>
        <v>13020.25618</v>
      </c>
      <c r="I34" s="132">
        <f>I35+I36</f>
        <v>2668.4566599999998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13022</v>
      </c>
      <c r="E35" s="63">
        <f>E34-E36</f>
        <v>14025</v>
      </c>
      <c r="F35" s="127">
        <f>590.95335</f>
        <v>590.95335</v>
      </c>
      <c r="G35" s="132">
        <f>1978.74382 - F60 - F61</f>
        <v>1964.7438199999999</v>
      </c>
      <c r="H35" s="127">
        <f t="shared" si="3"/>
        <v>12060.25618</v>
      </c>
      <c r="I35" s="127">
        <f>2668.45666 - H60 - H61</f>
        <v>2668.4566599999998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0</f>
        <v>0</v>
      </c>
      <c r="H37" s="139">
        <f t="shared" si="3"/>
        <v>2000</v>
      </c>
      <c r="I37" s="139">
        <f>0</f>
        <v>0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23.258</f>
        <v>23.257999999999999</v>
      </c>
      <c r="G38" s="98">
        <f>59.54505</f>
        <v>59.545050000000003</v>
      </c>
      <c r="H38" s="98">
        <f t="shared" si="3"/>
        <v>795.45495000000005</v>
      </c>
      <c r="I38" s="98">
        <f>62.05813</f>
        <v>62.058129999999998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0</v>
      </c>
      <c r="G39" s="98">
        <f>F61</f>
        <v>14</v>
      </c>
      <c r="H39" s="98">
        <f t="shared" si="3"/>
        <v>2986</v>
      </c>
      <c r="I39" s="98">
        <f>H61</f>
        <v>0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20.88059</f>
        <v>20.880590000000002</v>
      </c>
      <c r="G40" s="98">
        <v>7000</v>
      </c>
      <c r="H40" s="98">
        <f t="shared" si="3"/>
        <v>0</v>
      </c>
      <c r="I40" s="98"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3.829</f>
        <v>3.8290000000000002</v>
      </c>
      <c r="G41" s="98">
        <f>5.6425</f>
        <v>5.6425000000000001</v>
      </c>
      <c r="H41" s="98">
        <f>E41-G41</f>
        <v>394.35750000000002</v>
      </c>
      <c r="I41" s="98">
        <f>1.6029</f>
        <v>1.6029</v>
      </c>
      <c r="J41" s="243"/>
    </row>
    <row r="42" spans="1:13" ht="17.25" customHeight="1" x14ac:dyDescent="0.25">
      <c r="A42" s="1"/>
      <c r="B42" s="253"/>
      <c r="C42" s="73" t="s">
        <v>132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</f>
        <v>0</v>
      </c>
      <c r="G43" s="139">
        <f>12.3555</f>
        <v>12.355499999999999</v>
      </c>
      <c r="H43" s="139">
        <f t="shared" ref="H43" si="4">E43-G43</f>
        <v>-12.355499999999999</v>
      </c>
      <c r="I43" s="139">
        <f>11.9665</f>
        <v>11.9665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214124</v>
      </c>
      <c r="E44" s="76">
        <f t="shared" si="5"/>
        <v>218198</v>
      </c>
      <c r="F44" s="76">
        <f t="shared" si="5"/>
        <v>12552.031110000002</v>
      </c>
      <c r="G44" s="76">
        <f t="shared" si="5"/>
        <v>62303.680920000006</v>
      </c>
      <c r="H44" s="76">
        <f t="shared" si="5"/>
        <v>155894.31908000002</v>
      </c>
      <c r="I44" s="76">
        <f t="shared" si="5"/>
        <v>63125.591700000004</v>
      </c>
      <c r="J44" s="243"/>
    </row>
    <row r="45" spans="1:13" ht="14.1" customHeight="1" x14ac:dyDescent="0.25">
      <c r="A45" s="101"/>
      <c r="B45" s="24"/>
      <c r="C45" s="77" t="s">
        <v>133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148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134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144</v>
      </c>
      <c r="F54" s="68" t="s">
        <v>145</v>
      </c>
      <c r="G54" s="68" t="s">
        <v>146</v>
      </c>
      <c r="H54" s="68" t="s">
        <v>147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thickBot="1" x14ac:dyDescent="0.3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thickBot="1" x14ac:dyDescent="0.3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/>
      <c r="I60" s="257"/>
      <c r="J60" s="243"/>
    </row>
    <row r="61" spans="1:10" ht="14.1" customHeight="1" thickBot="1" x14ac:dyDescent="0.3">
      <c r="A61" s="101"/>
      <c r="B61" s="24"/>
      <c r="C61" s="142" t="s">
        <v>47</v>
      </c>
      <c r="D61" s="139">
        <v>3000</v>
      </c>
      <c r="E61" s="139"/>
      <c r="F61" s="139">
        <v>14</v>
      </c>
      <c r="G61" s="139">
        <f>D61-F61</f>
        <v>2986</v>
      </c>
      <c r="H61" s="139"/>
      <c r="I61" s="257"/>
      <c r="J61" s="243"/>
    </row>
    <row r="62" spans="1:10" ht="14.1" customHeight="1" x14ac:dyDescent="0.25">
      <c r="A62" s="101"/>
      <c r="B62" s="24"/>
      <c r="C62" s="77" t="s">
        <v>135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23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26111</v>
      </c>
      <c r="G82" s="191" t="s">
        <v>5</v>
      </c>
      <c r="H82" s="114">
        <v>7669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42603</v>
      </c>
      <c r="G83" s="191" t="s">
        <v>8</v>
      </c>
      <c r="H83" s="117">
        <v>31526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3408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70605</v>
      </c>
      <c r="G85" s="177" t="s">
        <v>7</v>
      </c>
      <c r="H85" s="189">
        <f>SUM(H82:H84)</f>
        <v>42603</v>
      </c>
      <c r="I85" s="178"/>
      <c r="J85" s="243"/>
    </row>
    <row r="86" spans="1:10" ht="14.25" customHeight="1" x14ac:dyDescent="0.25">
      <c r="A86" s="1"/>
      <c r="B86" s="253"/>
      <c r="C86" s="101" t="s">
        <v>119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144</v>
      </c>
      <c r="G91" s="15" t="s">
        <v>145</v>
      </c>
      <c r="H91" s="15" t="s">
        <v>146</v>
      </c>
      <c r="I91" s="15" t="s">
        <v>147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26111</v>
      </c>
      <c r="E92" s="28">
        <f>E94+E93</f>
        <v>25365</v>
      </c>
      <c r="F92" s="11">
        <f t="shared" ref="F92:I92" si="6">F94+F93</f>
        <v>988.02045999999996</v>
      </c>
      <c r="G92" s="11">
        <f t="shared" si="6"/>
        <v>4421.8099600000005</v>
      </c>
      <c r="H92" s="11">
        <f t="shared" si="6"/>
        <v>20943.190040000001</v>
      </c>
      <c r="I92" s="11">
        <f t="shared" si="6"/>
        <v>2904.1326300000001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25361</v>
      </c>
      <c r="E93" s="45">
        <v>24540</v>
      </c>
      <c r="F93" s="23">
        <f>986.75626</f>
        <v>986.75626</v>
      </c>
      <c r="G93" s="23">
        <f>4212.37556</f>
        <v>4212.3755600000004</v>
      </c>
      <c r="H93" s="23">
        <f>E93-G93</f>
        <v>20327.62444</v>
      </c>
      <c r="I93" s="23">
        <f>2869.81583</f>
        <v>2869.81583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1.2642</f>
        <v>1.2642</v>
      </c>
      <c r="G94" s="50">
        <f>209.4344</f>
        <v>209.43440000000001</v>
      </c>
      <c r="H94" s="50">
        <f>E94-G94</f>
        <v>615.56560000000002</v>
      </c>
      <c r="I94" s="50">
        <f>34.3168</f>
        <v>34.316800000000001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43825</v>
      </c>
      <c r="E95" s="28">
        <f>E96+E101+E102</f>
        <v>48022</v>
      </c>
      <c r="F95" s="11">
        <f t="shared" ref="F95:I95" si="7">F96+F101+F102</f>
        <v>865.09746999999993</v>
      </c>
      <c r="G95" s="11">
        <f t="shared" si="7"/>
        <v>8641.9753900000014</v>
      </c>
      <c r="H95" s="11">
        <f t="shared" si="7"/>
        <v>39380.02461</v>
      </c>
      <c r="I95" s="11">
        <f t="shared" si="7"/>
        <v>5883.7679800000005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32748</v>
      </c>
      <c r="E96" s="58">
        <f>E100+E99+E98+E97</f>
        <v>36774</v>
      </c>
      <c r="F96" s="132">
        <f t="shared" ref="F96:I96" si="8">F97+F98+F99+F100</f>
        <v>769.9397899999999</v>
      </c>
      <c r="G96" s="132">
        <f t="shared" si="8"/>
        <v>5306.9166900000009</v>
      </c>
      <c r="H96" s="132">
        <f t="shared" si="8"/>
        <v>31467.083309999998</v>
      </c>
      <c r="I96" s="132">
        <f t="shared" si="8"/>
        <v>3253.9479299999998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8749</v>
      </c>
      <c r="E97" s="63">
        <v>9824</v>
      </c>
      <c r="F97" s="127">
        <f>240.75485</f>
        <v>240.75485</v>
      </c>
      <c r="G97" s="127">
        <f>1949.26067</f>
        <v>1949.2606699999999</v>
      </c>
      <c r="H97" s="127">
        <f t="shared" ref="H97:H104" si="9">E97-G97</f>
        <v>7874.7393300000003</v>
      </c>
      <c r="I97" s="127">
        <f>958.56437</f>
        <v>958.56437000000005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9277</v>
      </c>
      <c r="E98" s="63">
        <v>10422</v>
      </c>
      <c r="F98" s="127">
        <f>272.17288</f>
        <v>272.17288000000002</v>
      </c>
      <c r="G98" s="127">
        <f>2106.59967</f>
        <v>2106.5996700000001</v>
      </c>
      <c r="H98" s="127">
        <f t="shared" si="9"/>
        <v>8315.4003300000004</v>
      </c>
      <c r="I98" s="127">
        <f>1212.4773</f>
        <v>1212.4773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8827</v>
      </c>
      <c r="E99" s="63">
        <v>9910</v>
      </c>
      <c r="F99" s="127">
        <f>138.59183</f>
        <v>138.59182999999999</v>
      </c>
      <c r="G99" s="127">
        <f>908.85792</f>
        <v>908.85792000000004</v>
      </c>
      <c r="H99" s="127">
        <f t="shared" si="9"/>
        <v>9001.1420799999996</v>
      </c>
      <c r="I99" s="127">
        <f>691.86215</f>
        <v>691.86215000000004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5895</v>
      </c>
      <c r="E100" s="63">
        <v>6618</v>
      </c>
      <c r="F100" s="127">
        <f>118.42023</f>
        <v>118.42023</v>
      </c>
      <c r="G100" s="127">
        <f>342.19843</f>
        <v>342.19842999999997</v>
      </c>
      <c r="H100" s="127">
        <f t="shared" si="9"/>
        <v>6275.8015699999996</v>
      </c>
      <c r="I100" s="127">
        <f>391.04411</f>
        <v>391.04410999999999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7669</v>
      </c>
      <c r="E101" s="58">
        <v>7422</v>
      </c>
      <c r="F101" s="132">
        <f>3.48454</f>
        <v>3.48454</v>
      </c>
      <c r="G101" s="132">
        <f>2465.11071</f>
        <v>2465.1107099999999</v>
      </c>
      <c r="H101" s="132">
        <f t="shared" si="9"/>
        <v>4956.8892900000001</v>
      </c>
      <c r="I101" s="132">
        <f>2101.2935</f>
        <v>2101.2935000000002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3408</v>
      </c>
      <c r="E102" s="61">
        <v>3826</v>
      </c>
      <c r="F102" s="75">
        <f>91.67314</f>
        <v>91.673140000000004</v>
      </c>
      <c r="G102" s="75">
        <f>869.94799</f>
        <v>869.94799</v>
      </c>
      <c r="H102" s="75">
        <f t="shared" si="9"/>
        <v>2956.0520099999999</v>
      </c>
      <c r="I102" s="75">
        <f>528.52655</f>
        <v>528.52655000000004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0.1357</f>
        <v>0.13569999999999999</v>
      </c>
      <c r="G103" s="98">
        <f>1.41792</f>
        <v>1.4179200000000001</v>
      </c>
      <c r="H103" s="98">
        <f t="shared" si="9"/>
        <v>317.58208000000002</v>
      </c>
      <c r="I103" s="98">
        <f>0.32269</f>
        <v>0.32268999999999998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3.55443</f>
        <v>3.55443</v>
      </c>
      <c r="G104" s="139">
        <v>300</v>
      </c>
      <c r="H104" s="139">
        <f t="shared" si="9"/>
        <v>0</v>
      </c>
      <c r="I104" s="139"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1.16022</f>
        <v>1.16022</v>
      </c>
      <c r="G105" s="98">
        <f>5.25466</f>
        <v>5.2546600000000003</v>
      </c>
      <c r="H105" s="139">
        <f>E105-G105</f>
        <v>44.745339999999999</v>
      </c>
      <c r="I105" s="98">
        <f>2.96176</f>
        <v>2.9617599999999999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0</f>
        <v>0</v>
      </c>
      <c r="G106" s="139">
        <f>2.8723</f>
        <v>2.8723000000000001</v>
      </c>
      <c r="H106" s="139">
        <f t="shared" ref="H106" si="10">E106-G106</f>
        <v>-2.8723000000000001</v>
      </c>
      <c r="I106" s="139">
        <f>0.468</f>
        <v>0.46800000000000003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70605</v>
      </c>
      <c r="E107" s="76">
        <f t="shared" ref="E107" si="11">E92+E95+E103+E104+E105+E106</f>
        <v>74056</v>
      </c>
      <c r="F107" s="76">
        <f t="shared" ref="F107:I107" si="12">F92+F95+F103+F104+F105+F106</f>
        <v>1857.9682799999998</v>
      </c>
      <c r="G107" s="76">
        <f t="shared" si="12"/>
        <v>13373.330230000003</v>
      </c>
      <c r="H107" s="76">
        <f t="shared" si="12"/>
        <v>60682.66977</v>
      </c>
      <c r="I107" s="76">
        <f t="shared" si="12"/>
        <v>9091.6530600000024</v>
      </c>
      <c r="J107" s="243"/>
    </row>
    <row r="108" spans="1:10" ht="13.5" customHeight="1" x14ac:dyDescent="0.25">
      <c r="A108" s="1"/>
      <c r="B108" s="253"/>
      <c r="C108" s="77" t="s">
        <v>136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151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137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6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144</v>
      </c>
      <c r="G127" s="15" t="s">
        <v>145</v>
      </c>
      <c r="H127" s="15" t="s">
        <v>146</v>
      </c>
      <c r="I127" s="15" t="s">
        <v>147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2166.6086599999999</v>
      </c>
      <c r="G128" s="11">
        <f t="shared" si="13"/>
        <v>10200.272790000001</v>
      </c>
      <c r="H128" s="11">
        <f t="shared" si="13"/>
        <v>62106.727209999997</v>
      </c>
      <c r="I128" s="11">
        <f t="shared" si="13"/>
        <v>17454.646189999999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2008.23611</f>
        <v>2008.2361100000001</v>
      </c>
      <c r="G129" s="23">
        <f>8622.74364</f>
        <v>8622.7436400000006</v>
      </c>
      <c r="H129" s="23">
        <f>E129-G129</f>
        <v>48939.256359999999</v>
      </c>
      <c r="I129" s="23">
        <f>15445.07984</f>
        <v>15445.07984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155.68605</f>
        <v>155.68604999999999</v>
      </c>
      <c r="G130" s="23">
        <f>1520.856</f>
        <v>1520.856</v>
      </c>
      <c r="H130" s="23">
        <f>E130-G130</f>
        <v>12724.144</v>
      </c>
      <c r="I130" s="23">
        <f>1917.40635</f>
        <v>1917.40635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2.6865</f>
        <v>2.6865000000000001</v>
      </c>
      <c r="G131" s="23">
        <f>56.67315</f>
        <v>56.67315</v>
      </c>
      <c r="H131" s="55">
        <f>E131-G131</f>
        <v>443.32684999999998</v>
      </c>
      <c r="I131" s="23">
        <f>92.16</f>
        <v>92.16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0</f>
        <v>0</v>
      </c>
      <c r="G132" s="95">
        <f>18.09185+229.39508</f>
        <v>247.48693</v>
      </c>
      <c r="H132" s="95">
        <f>E132-G132</f>
        <v>52248.513070000001</v>
      </c>
      <c r="I132" s="95">
        <f>11.14095</f>
        <v>11.14095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3415.02504</v>
      </c>
      <c r="G133" s="94">
        <f t="shared" ref="G133" si="14">G134+G139+G142</f>
        <v>22713.892899999999</v>
      </c>
      <c r="H133" s="94">
        <f>H134+H139+H142</f>
        <v>57451.107100000001</v>
      </c>
      <c r="I133" s="94">
        <f>I134+I139+I142</f>
        <v>21820.224200000001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3063.9306300000003</v>
      </c>
      <c r="G134" s="125">
        <f>G135+G136+G138+G137</f>
        <v>18576.953699999998</v>
      </c>
      <c r="H134" s="125">
        <f>H135+H136+H137+H138</f>
        <v>40502.046300000002</v>
      </c>
      <c r="I134" s="125">
        <f>I135+I136+I137+I138</f>
        <v>19874.433919999999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441.61836</f>
        <v>441.61836</v>
      </c>
      <c r="G135" s="127">
        <v>3798.2448800000002</v>
      </c>
      <c r="H135" s="127">
        <f>E135-G135</f>
        <v>13975.75512</v>
      </c>
      <c r="I135" s="127">
        <f>3337.39579</f>
        <v>3337.39579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1155.73404</f>
        <v>1155.73404</v>
      </c>
      <c r="G136" s="127">
        <v>6702.9347499999994</v>
      </c>
      <c r="H136" s="127">
        <f>E136-G136</f>
        <v>8236.0652499999997</v>
      </c>
      <c r="I136" s="127">
        <f>6094.96448</f>
        <v>6094.9644799999996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770.73481</f>
        <v>770.73481000000004</v>
      </c>
      <c r="G137" s="127">
        <v>4244.1629299999995</v>
      </c>
      <c r="H137" s="127">
        <f>E137-G137</f>
        <v>8806.8370700000014</v>
      </c>
      <c r="I137" s="127">
        <f>4696.52729</f>
        <v>4696.52729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695.84342</f>
        <v>695.84342000000004</v>
      </c>
      <c r="G138" s="127">
        <v>3831.61114</v>
      </c>
      <c r="H138" s="127">
        <f>E138-G138</f>
        <v>9483.3888599999991</v>
      </c>
      <c r="I138" s="127">
        <f>5745.54636</f>
        <v>5745.5463600000003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173.40344999999999</v>
      </c>
      <c r="G139" s="132">
        <f>SUM(G140:G141)</f>
        <v>2751.4723799999997</v>
      </c>
      <c r="H139" s="132">
        <f>H140+H141</f>
        <v>6178.5276199999998</v>
      </c>
      <c r="I139" s="132">
        <f>SUM(I140:I141)</f>
        <v>885.95011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170.69385</f>
        <v>170.69385</v>
      </c>
      <c r="G140" s="127">
        <f>2675.98611</f>
        <v>2675.9861099999998</v>
      </c>
      <c r="H140" s="127">
        <f t="shared" ref="H140:H148" si="15">E140-G140</f>
        <v>5754.0138900000002</v>
      </c>
      <c r="I140" s="127">
        <f>854.03542</f>
        <v>854.03542000000004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2.7096</f>
        <v>2.7096</v>
      </c>
      <c r="G141" s="127">
        <f>75.48627</f>
        <v>75.486270000000005</v>
      </c>
      <c r="H141" s="127">
        <f t="shared" si="15"/>
        <v>424.51373000000001</v>
      </c>
      <c r="I141" s="127">
        <f>31.91469</f>
        <v>31.91469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177.69096</f>
        <v>177.69095999999999</v>
      </c>
      <c r="G142" s="75">
        <f>1385.46682</f>
        <v>1385.4668200000001</v>
      </c>
      <c r="H142" s="75">
        <f t="shared" si="15"/>
        <v>10770.53318</v>
      </c>
      <c r="I142" s="75">
        <f>1059.84017</f>
        <v>1059.8401699999999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0.13955</f>
        <v>0.13955000000000001</v>
      </c>
      <c r="G143" s="139">
        <f>1.85068</f>
        <v>1.8506800000000001</v>
      </c>
      <c r="H143" s="139">
        <f t="shared" si="15"/>
        <v>144.14931999999999</v>
      </c>
      <c r="I143" s="139">
        <f>1.9199</f>
        <v>1.9198999999999999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10.27781</f>
        <v>10.277810000000001</v>
      </c>
      <c r="G145" s="139">
        <v>2000</v>
      </c>
      <c r="H145" s="139">
        <f t="shared" si="15"/>
        <v>0</v>
      </c>
      <c r="I145" s="139"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3.0951</f>
        <v>3.0951</v>
      </c>
      <c r="G147" s="98">
        <f>12.6752</f>
        <v>12.6752</v>
      </c>
      <c r="H147" s="139">
        <f t="shared" si="15"/>
        <v>263.32479999999998</v>
      </c>
      <c r="I147" s="98">
        <f>14.7066</f>
        <v>14.7066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1.041</f>
        <v>1.0409999999999999</v>
      </c>
      <c r="G148" s="139">
        <f>34.9125</f>
        <v>34.912500000000001</v>
      </c>
      <c r="H148" s="139">
        <f t="shared" si="15"/>
        <v>-34.912500000000001</v>
      </c>
      <c r="I148" s="139">
        <f>49.433</f>
        <v>49.433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5596.1871599999995</v>
      </c>
      <c r="G150" s="76">
        <f>G128+G132+G133+G143+G144+G145+G146+G147+G148</f>
        <v>35211.091</v>
      </c>
      <c r="H150" s="76">
        <f>H128+H132+H133+H143+H144+H145+H146+H147+H148</f>
        <v>172428.90899999999</v>
      </c>
      <c r="I150" s="76">
        <f>I128+I132+I133+I143+I144+I145+I146+I147+I148</f>
        <v>41352.070839999993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138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150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149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139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144</v>
      </c>
      <c r="F174" s="15" t="s">
        <v>145</v>
      </c>
      <c r="G174" s="54" t="s">
        <v>146</v>
      </c>
      <c r="H174" s="15" t="s">
        <v>147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18.03723</f>
        <v>18.037230000000001</v>
      </c>
      <c r="F175" s="275">
        <f>207.85649</f>
        <v>207.85649000000001</v>
      </c>
      <c r="G175" s="43">
        <f>D175-F175-F176</f>
        <v>3942.2754199999999</v>
      </c>
      <c r="H175" s="275">
        <f>231.56506</f>
        <v>231.56505999999999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0</f>
        <v>0</v>
      </c>
      <c r="F176" s="152">
        <f>72.86809</f>
        <v>72.868089999999995</v>
      </c>
      <c r="G176" s="215"/>
      <c r="H176" s="152">
        <f>122.56177</f>
        <v>122.56177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</f>
        <v>0</v>
      </c>
      <c r="F177" s="172">
        <f>0.56428</f>
        <v>0.56428</v>
      </c>
      <c r="G177" s="172">
        <f>D177-F177</f>
        <v>199.43572</v>
      </c>
      <c r="H177" s="172">
        <f>18.29706</f>
        <v>18.297059999999998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2.46726</v>
      </c>
      <c r="F178" s="181">
        <f>F179+F180+F181</f>
        <v>8.7528600000000001</v>
      </c>
      <c r="G178" s="181">
        <f>D178-F178</f>
        <v>6325.2471400000004</v>
      </c>
      <c r="H178" s="181">
        <f>H179+H180+H181</f>
        <v>2.8959199999999998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0.30274</f>
        <v>0.30274000000000001</v>
      </c>
      <c r="F179" s="127">
        <f>1.71964</f>
        <v>1.7196400000000001</v>
      </c>
      <c r="G179" s="127"/>
      <c r="H179" s="127">
        <f>0.5092</f>
        <v>0.50919999999999999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1.56924</f>
        <v>1.56924</v>
      </c>
      <c r="F180" s="127">
        <f>3.06338</f>
        <v>3.06338</v>
      </c>
      <c r="G180" s="127"/>
      <c r="H180" s="127">
        <f>1.79508</f>
        <v>1.79508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0.59528</f>
        <v>0.59528000000000003</v>
      </c>
      <c r="F181" s="192">
        <f>3.96984</f>
        <v>3.96984</v>
      </c>
      <c r="G181" s="192"/>
      <c r="H181" s="192">
        <f>0.59164</f>
        <v>0.59164000000000005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20.504490000000001</v>
      </c>
      <c r="F184" s="194">
        <f>F175+F176+F177+F178+F182+F183</f>
        <v>290.04172</v>
      </c>
      <c r="G184" s="194">
        <f>D184-F184</f>
        <v>10532.958280000001</v>
      </c>
      <c r="H184" s="194">
        <f>H175+H176+H177+H178+H182+H183</f>
        <v>375.31980999999996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3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3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125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126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129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144</v>
      </c>
      <c r="F203" s="68" t="s">
        <v>145</v>
      </c>
      <c r="G203" s="68" t="s">
        <v>146</v>
      </c>
      <c r="H203" s="68" t="s">
        <v>147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371.52327</f>
        <v>371.52327000000002</v>
      </c>
      <c r="F204" s="124">
        <f>8884.12532</f>
        <v>8884.1253199999992</v>
      </c>
      <c r="G204" s="124">
        <f>D204-F204</f>
        <v>37397.874680000001</v>
      </c>
      <c r="H204" s="124">
        <f>4864.07375</f>
        <v>4864.0737499999996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0.107</f>
        <v>0.107</v>
      </c>
      <c r="F205" s="124">
        <f>0.69222</f>
        <v>0.69221999999999995</v>
      </c>
      <c r="G205" s="124">
        <f>D205-F205</f>
        <v>99.307779999999994</v>
      </c>
      <c r="H205" s="124">
        <f>0.446</f>
        <v>0.44600000000000001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371.63027000000005</v>
      </c>
      <c r="F207" s="190">
        <f>SUM(F204:F206)</f>
        <v>8884.81754</v>
      </c>
      <c r="G207" s="190">
        <f>D207-F207</f>
        <v>37533.182459999996</v>
      </c>
      <c r="H207" s="190">
        <f>SUM(H204:H206)</f>
        <v>4864.5197499999995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3" t="s">
        <v>120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3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144</v>
      </c>
      <c r="F248" s="68" t="s">
        <v>145</v>
      </c>
      <c r="G248" s="68" t="s">
        <v>146</v>
      </c>
      <c r="H248" s="68" t="s">
        <v>147</v>
      </c>
      <c r="I248" s="1"/>
      <c r="J248" s="120"/>
    </row>
    <row r="249" spans="1:10" ht="15" customHeight="1" x14ac:dyDescent="0.25">
      <c r="A249" s="1"/>
      <c r="B249" s="253"/>
      <c r="C249" s="90" t="s">
        <v>127</v>
      </c>
      <c r="D249" s="124">
        <v>3987</v>
      </c>
      <c r="E249" s="75">
        <f>E250+E251</f>
        <v>54.255459999999999</v>
      </c>
      <c r="F249" s="75">
        <f>F250+F251</f>
        <v>514.04566</v>
      </c>
      <c r="G249" s="75">
        <f>D249-F249</f>
        <v>3472.9543400000002</v>
      </c>
      <c r="H249" s="75">
        <f>H250+H251</f>
        <v>264.57445000000001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14.8656</f>
        <v>14.865600000000001</v>
      </c>
      <c r="F250" s="75">
        <f>387.92182</f>
        <v>387.92182000000003</v>
      </c>
      <c r="G250" s="75"/>
      <c r="H250" s="75">
        <f>121.19585</f>
        <v>121.19584999999999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39.38986</f>
        <v>39.389859999999999</v>
      </c>
      <c r="F251" s="124">
        <f>126.12384</f>
        <v>126.12384</v>
      </c>
      <c r="G251" s="168"/>
      <c r="H251" s="124">
        <f>143.3786</f>
        <v>143.37860000000001</v>
      </c>
      <c r="I251" s="247"/>
      <c r="J251" s="120"/>
    </row>
    <row r="252" spans="1:10" ht="15" customHeight="1" x14ac:dyDescent="0.25">
      <c r="A252" s="1"/>
      <c r="B252" s="253"/>
      <c r="C252" s="90" t="s">
        <v>128</v>
      </c>
      <c r="D252" s="124">
        <v>4613</v>
      </c>
      <c r="E252" s="75">
        <f>112.2752</f>
        <v>112.2752</v>
      </c>
      <c r="F252" s="75">
        <f>777.79055</f>
        <v>777.79055000000005</v>
      </c>
      <c r="G252" s="75">
        <f>D252-F252</f>
        <v>3835.2094499999998</v>
      </c>
      <c r="H252" s="75">
        <f>702.67244</f>
        <v>702.67244000000005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220.78611999999998</v>
      </c>
      <c r="F253" s="190">
        <f>SUM(F249:F252)</f>
        <v>1805.8818700000002</v>
      </c>
      <c r="G253" s="190">
        <f>D253-F253</f>
        <v>6794.1181299999998</v>
      </c>
      <c r="H253" s="190">
        <f>SUM(H249:H252)</f>
        <v>1231.82134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4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3" t="s">
        <v>121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3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144</v>
      </c>
      <c r="F294" s="68" t="s">
        <v>145</v>
      </c>
      <c r="G294" s="68" t="s">
        <v>146</v>
      </c>
      <c r="H294" s="68" t="s">
        <v>147</v>
      </c>
      <c r="I294" s="1"/>
      <c r="J294" s="120"/>
    </row>
    <row r="295" spans="1:10" ht="15" customHeight="1" x14ac:dyDescent="0.25">
      <c r="A295" s="1"/>
      <c r="B295" s="253"/>
      <c r="C295" s="90" t="s">
        <v>127</v>
      </c>
      <c r="D295" s="124">
        <v>5090</v>
      </c>
      <c r="E295" s="75">
        <f>E296+E297</f>
        <v>17.397649999999999</v>
      </c>
      <c r="F295" s="75">
        <f>F296+F297</f>
        <v>385.53073000000001</v>
      </c>
      <c r="G295" s="75">
        <f>D295-F295</f>
        <v>4704.4692699999996</v>
      </c>
      <c r="H295" s="75">
        <f>H296+H297</f>
        <v>218.01040999999998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0.9438</f>
        <v>0.94379999999999997</v>
      </c>
      <c r="F296" s="75">
        <f>318.35482</f>
        <v>318.35482000000002</v>
      </c>
      <c r="G296" s="75"/>
      <c r="H296" s="75">
        <f>127.71439</f>
        <v>127.71438999999999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16.45385</f>
        <v>16.453849999999999</v>
      </c>
      <c r="F297" s="124">
        <f>67.17591</f>
        <v>67.175910000000002</v>
      </c>
      <c r="G297" s="168"/>
      <c r="H297" s="124">
        <f>90.29602</f>
        <v>90.296019999999999</v>
      </c>
      <c r="I297" s="247"/>
      <c r="J297" s="120"/>
    </row>
    <row r="298" spans="1:10" ht="15" customHeight="1" x14ac:dyDescent="0.25">
      <c r="A298" s="1"/>
      <c r="B298" s="253"/>
      <c r="C298" s="90" t="s">
        <v>128</v>
      </c>
      <c r="D298" s="124">
        <v>2981</v>
      </c>
      <c r="E298" s="75">
        <f>77.08504</f>
        <v>77.085040000000006</v>
      </c>
      <c r="F298" s="75">
        <f>558.91392</f>
        <v>558.91391999999996</v>
      </c>
      <c r="G298" s="75">
        <f>D298-F298</f>
        <v>2422.08608</v>
      </c>
      <c r="H298" s="75">
        <f>551.80946</f>
        <v>551.80945999999994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111.88034</v>
      </c>
      <c r="F299" s="190">
        <f>SUM(F295:F298)</f>
        <v>1329.9753799999999</v>
      </c>
      <c r="G299" s="190">
        <f>D299-F299</f>
        <v>6741.0246200000001</v>
      </c>
      <c r="H299" s="190">
        <f>SUM(H295:H298)</f>
        <v>987.8302799999999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4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130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144</v>
      </c>
      <c r="F349" s="68" t="s">
        <v>145</v>
      </c>
      <c r="G349" s="68" t="s">
        <v>146</v>
      </c>
      <c r="H349" s="68" t="s">
        <v>147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7.1702</f>
        <v>7.1702000000000004</v>
      </c>
      <c r="F350" s="124">
        <f>70.71708</f>
        <v>70.717079999999996</v>
      </c>
      <c r="G350" s="124">
        <f>D350-F350</f>
        <v>729.28291999999999</v>
      </c>
      <c r="H350" s="124">
        <f>56.80186</f>
        <v>56.801859999999998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34.76463</f>
        <v>34.764629999999997</v>
      </c>
      <c r="F351" s="124">
        <f>252.83356</f>
        <v>252.83356000000001</v>
      </c>
      <c r="G351" s="124">
        <f>D351-F351</f>
        <v>2788.16644</v>
      </c>
      <c r="H351" s="124">
        <f>308.29974</f>
        <v>308.29973999999999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</f>
        <v>0</v>
      </c>
      <c r="G353" s="124">
        <f>D353-F353</f>
        <v>0</v>
      </c>
      <c r="H353" s="168">
        <f>0</f>
        <v>0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41.934829999999998</v>
      </c>
      <c r="F354" s="190">
        <f>SUM(F350:F353)</f>
        <v>324.16069999999996</v>
      </c>
      <c r="G354" s="190">
        <f>D354-F354</f>
        <v>3526.8393000000001</v>
      </c>
      <c r="H354" s="190">
        <f>H350+H351+H352+H353</f>
        <v>365.19163999999995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3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142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143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144</v>
      </c>
      <c r="G379" s="222" t="s">
        <v>145</v>
      </c>
      <c r="H379" s="222" t="s">
        <v>146</v>
      </c>
      <c r="I379" s="222" t="s">
        <v>147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505.55850000000004</v>
      </c>
      <c r="G380" s="252">
        <f t="shared" si="17"/>
        <v>1728.4213999999999</v>
      </c>
      <c r="H380" s="252">
        <f>H384+H383+H382+H381</f>
        <v>21240.578600000001</v>
      </c>
      <c r="I380" s="252">
        <f t="shared" si="17"/>
        <v>1543.8669600000001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499.9995</f>
        <v>499.99950000000001</v>
      </c>
      <c r="G381" s="256">
        <f>1349.34347</f>
        <v>1349.34347</v>
      </c>
      <c r="H381" s="256">
        <f t="shared" ref="H381:H385" si="18">E381-G381</f>
        <v>11840.65653</v>
      </c>
      <c r="I381" s="256">
        <f>1251.81104</f>
        <v>1251.81104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38.2725</f>
        <v>38.272500000000001</v>
      </c>
      <c r="H382" s="256">
        <f t="shared" si="18"/>
        <v>3394.7275</v>
      </c>
      <c r="I382" s="256">
        <f>0</f>
        <v>0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5.451</f>
        <v>5.4509999999999996</v>
      </c>
      <c r="G383" s="256">
        <f>327.11963</f>
        <v>327.11962999999997</v>
      </c>
      <c r="H383" s="256">
        <f t="shared" si="18"/>
        <v>1155.8803700000001</v>
      </c>
      <c r="I383" s="256">
        <f>273.80012</f>
        <v>273.80011999999999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0.108</f>
        <v>0.108</v>
      </c>
      <c r="G384" s="256">
        <f>13.6858</f>
        <v>13.6858</v>
      </c>
      <c r="H384" s="256">
        <f t="shared" si="18"/>
        <v>4849.3141999999998</v>
      </c>
      <c r="I384" s="256">
        <f>18.2558</f>
        <v>18.255800000000001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0.073</f>
        <v>7.2999999999999995E-2</v>
      </c>
      <c r="G385" s="267">
        <f>0.971</f>
        <v>0.97099999999999997</v>
      </c>
      <c r="H385" s="267">
        <f t="shared" si="18"/>
        <v>5499.0290000000005</v>
      </c>
      <c r="I385" s="267">
        <f>18.501</f>
        <v>18.501000000000001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136.68324999999999</v>
      </c>
      <c r="G386" s="268">
        <f>G388+G387</f>
        <v>633.84903999999995</v>
      </c>
      <c r="H386" s="268">
        <f>E386-G386</f>
        <v>7366.1509599999999</v>
      </c>
      <c r="I386" s="268">
        <f>I388+I387</f>
        <v>1225.33977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118.4138</f>
        <v>118.41379999999999</v>
      </c>
      <c r="G387" s="256">
        <f>121.4108</f>
        <v>121.41079999999999</v>
      </c>
      <c r="H387" s="256"/>
      <c r="I387" s="256">
        <f>720.0556</f>
        <v>720.05560000000003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18.26945</f>
        <v>18.269449999999999</v>
      </c>
      <c r="G388" s="277">
        <f>512.43824</f>
        <v>512.43823999999995</v>
      </c>
      <c r="H388" s="277"/>
      <c r="I388" s="277">
        <f>505.28417</f>
        <v>505.28417000000002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0.0567</f>
        <v>5.67E-2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0.27072</f>
        <v>0.27072000000000002</v>
      </c>
      <c r="G390" s="267">
        <f>2.72624</f>
        <v>2.7262400000000002</v>
      </c>
      <c r="H390" s="267">
        <f>E390-G390</f>
        <v>-2.7262400000000002</v>
      </c>
      <c r="I390" s="267">
        <f>1.07428</f>
        <v>1.0742799999999999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642.58546999999999</v>
      </c>
      <c r="G391" s="286">
        <f t="shared" si="19"/>
        <v>2365.9940799999999</v>
      </c>
      <c r="H391" s="286">
        <f>H380+H385+H386+H389+H390</f>
        <v>34116.005919999996</v>
      </c>
      <c r="I391" s="286">
        <f t="shared" si="19"/>
        <v>2788.83871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141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140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122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144</v>
      </c>
      <c r="F412" s="20" t="s">
        <v>145</v>
      </c>
      <c r="G412" s="25" t="s">
        <v>146</v>
      </c>
      <c r="H412" s="20" t="s">
        <v>147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100.5104</v>
      </c>
      <c r="F416" s="26">
        <f>SUM(F417:F418)</f>
        <v>1132.38588</v>
      </c>
      <c r="G416" s="85">
        <f>D416-F416</f>
        <v>-72.385880000000043</v>
      </c>
      <c r="H416" s="26">
        <f>SUM(H417:H418)</f>
        <v>1828.81212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83.5355</f>
        <v>83.535499999999999</v>
      </c>
      <c r="F417" s="30">
        <f>905.84158</f>
        <v>905.84158000000002</v>
      </c>
      <c r="G417" s="97"/>
      <c r="H417" s="30">
        <f>1499.5995</f>
        <v>1499.5995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16.9749</f>
        <v>16.974900000000002</v>
      </c>
      <c r="F418" s="30">
        <f>226.5443</f>
        <v>226.54429999999999</v>
      </c>
      <c r="G418" s="108"/>
      <c r="H418" s="30">
        <f>329.21262</f>
        <v>329.21262000000002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0</v>
      </c>
      <c r="F419" s="36">
        <f>SUM(F420:F421)</f>
        <v>0</v>
      </c>
      <c r="G419" s="85">
        <f>D419-F419</f>
        <v>1235</v>
      </c>
      <c r="H419" s="36">
        <f>SUM(H420:H421)</f>
        <v>0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0</f>
        <v>0</v>
      </c>
      <c r="F420" s="30">
        <f>0</f>
        <v>0</v>
      </c>
      <c r="G420" s="97"/>
      <c r="H420" s="30">
        <f>0</f>
        <v>0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0</f>
        <v>0</v>
      </c>
      <c r="F421" s="30">
        <f>0</f>
        <v>0</v>
      </c>
      <c r="G421" s="108"/>
      <c r="H421" s="30">
        <f>0</f>
        <v>0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100.5104</v>
      </c>
      <c r="F423" s="40">
        <f>F413+F416+F419+F422</f>
        <v>2120.7871100000002</v>
      </c>
      <c r="G423" s="41"/>
      <c r="H423" s="40">
        <f>H413+H416+H419+H422</f>
        <v>3667.1018600000002</v>
      </c>
      <c r="I423" s="27"/>
      <c r="J423" s="130"/>
    </row>
    <row r="424" spans="1:10" ht="42" customHeight="1" x14ac:dyDescent="0.25">
      <c r="A424" s="217"/>
      <c r="B424" s="72"/>
      <c r="C424" s="292" t="s">
        <v>123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3"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8&amp;R26.02.2024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2024-02-26T14:15:34Z</dcterms:modified>
</cp:coreProperties>
</file>